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https://telecomunicazioniitaliasrl-my.sharepoint.com/personal/m_battistelli_tci_it/Documents/Desktop/"/>
    </mc:Choice>
  </mc:AlternateContent>
  <xr:revisionPtr revIDLastSave="62" documentId="8_{7ED3A6E5-8B9C-4F17-9153-0691414FF5D8}" xr6:coauthVersionLast="47" xr6:coauthVersionMax="47" xr10:uidLastSave="{EF7A11D5-FE2E-4876-BEE2-32C1B320A40A}"/>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720" tabRatio="789" activeTab="5"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3" i="4" s="1"/>
  <c r="R14" i="4"/>
  <c r="S15" i="4" s="1"/>
  <c r="T15" i="4" s="1"/>
  <c r="U15" i="4" s="1"/>
  <c r="S17" i="4"/>
  <c r="R18" i="4"/>
  <c r="Q19" i="4"/>
  <c r="Q20" i="4"/>
  <c r="R19" i="4"/>
  <c r="S18" i="4"/>
  <c r="T17" i="4"/>
  <c r="S14" i="4"/>
  <c r="Q12" i="4"/>
  <c r="R12" i="4"/>
  <c r="S13" i="4"/>
  <c r="T14" i="4" s="1"/>
  <c r="T18" i="4"/>
  <c r="S19" i="4"/>
  <c r="R20" i="4"/>
  <c r="Q21" i="4"/>
  <c r="R21" i="4"/>
  <c r="S20" i="4"/>
  <c r="T19" i="4"/>
  <c r="U18" i="4"/>
  <c r="V18" i="4"/>
  <c r="U19" i="4"/>
  <c r="T20" i="4"/>
  <c r="S21" i="4"/>
  <c r="T21" i="4"/>
  <c r="U20" i="4"/>
  <c r="V19" i="4"/>
  <c r="W18" i="4"/>
  <c r="X18" i="4" s="1"/>
  <c r="Y18" i="4" s="1"/>
  <c r="W19" i="4"/>
  <c r="V20" i="4"/>
  <c r="U21" i="4"/>
  <c r="V21" i="4"/>
  <c r="W20" i="4"/>
  <c r="X19" i="4"/>
  <c r="X20" i="4"/>
  <c r="Y20" i="4" s="1"/>
  <c r="Z20" i="4" s="1"/>
  <c r="W21" i="4"/>
  <c r="X21" i="4"/>
  <c r="Y19" i="4"/>
  <c r="Z19" i="4"/>
  <c r="Y21" i="4"/>
  <c r="Z21" i="4"/>
  <c r="AB12" i="5"/>
  <c r="V12" i="5"/>
  <c r="X12" i="5"/>
  <c r="R12" i="5"/>
  <c r="AB11" i="5"/>
  <c r="V11" i="5"/>
  <c r="X11" i="5"/>
  <c r="R11" i="5"/>
  <c r="AB10" i="5"/>
  <c r="V10" i="5"/>
  <c r="X10" i="5"/>
  <c r="R10" i="5"/>
  <c r="AB9" i="5"/>
  <c r="V9" i="5"/>
  <c r="X9" i="5"/>
  <c r="R9" i="5"/>
  <c r="AB8" i="5"/>
  <c r="V8" i="5"/>
  <c r="X8" i="5"/>
  <c r="R8" i="5"/>
  <c r="AB7" i="5"/>
  <c r="V7" i="5"/>
  <c r="X7" i="5"/>
  <c r="R7" i="5"/>
  <c r="AB6" i="5"/>
  <c r="V6" i="5"/>
  <c r="X6" i="5"/>
  <c r="R6" i="5"/>
  <c r="AB5" i="5"/>
  <c r="V5" i="5"/>
  <c r="X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6" i="6" s="1"/>
  <c r="F112" i="6"/>
  <c r="H112" i="6" s="1"/>
  <c r="D112" i="6" s="1"/>
  <c r="B111" i="6"/>
  <c r="G111" i="6" s="1"/>
  <c r="B110" i="6"/>
  <c r="B109" i="6"/>
  <c r="B108" i="6"/>
  <c r="B107" i="6"/>
  <c r="B106" i="6"/>
  <c r="B105" i="6"/>
  <c r="B104" i="6"/>
  <c r="B103" i="6"/>
  <c r="B102" i="6"/>
  <c r="B101" i="6"/>
  <c r="B100" i="6"/>
  <c r="B99" i="6"/>
  <c r="B98" i="6"/>
  <c r="B96" i="6"/>
  <c r="G96" i="6" s="1"/>
  <c r="B95" i="6"/>
  <c r="B94" i="6"/>
  <c r="G94" i="6" s="1"/>
  <c r="B92" i="6"/>
  <c r="B91" i="6"/>
  <c r="B90" i="6"/>
  <c r="B89" i="6"/>
  <c r="B88" i="6"/>
  <c r="B87" i="6"/>
  <c r="B86" i="6"/>
  <c r="B85" i="6"/>
  <c r="B84" i="6"/>
  <c r="B83" i="6"/>
  <c r="B81" i="6"/>
  <c r="B80" i="6"/>
  <c r="B79" i="6"/>
  <c r="B78" i="6"/>
  <c r="B77" i="6"/>
  <c r="B76" i="6"/>
  <c r="B75" i="6"/>
  <c r="B74" i="6"/>
  <c r="B73" i="6"/>
  <c r="G73" i="6" s="1"/>
  <c r="B72" i="6"/>
  <c r="G72" i="6" s="1"/>
  <c r="B70" i="6"/>
  <c r="B69" i="6"/>
  <c r="B68" i="6"/>
  <c r="B67" i="6"/>
  <c r="B66" i="6"/>
  <c r="G66" i="6" s="1"/>
  <c r="B65" i="6"/>
  <c r="G65" i="6" s="1"/>
  <c r="B64" i="6"/>
  <c r="B63" i="6"/>
  <c r="B62" i="6"/>
  <c r="B61" i="6"/>
  <c r="B59" i="6"/>
  <c r="B58" i="6"/>
  <c r="B57" i="6"/>
  <c r="B56" i="6"/>
  <c r="B55" i="6"/>
  <c r="B54" i="6"/>
  <c r="B53" i="6"/>
  <c r="B52" i="6"/>
  <c r="B51" i="6"/>
  <c r="B50" i="6"/>
  <c r="B48" i="6"/>
  <c r="B47" i="6"/>
  <c r="B46" i="6"/>
  <c r="B45" i="6"/>
  <c r="B44" i="6"/>
  <c r="G44" i="6" s="1"/>
  <c r="B43" i="6"/>
  <c r="G43" i="6" s="1"/>
  <c r="B42" i="6"/>
  <c r="B41" i="6"/>
  <c r="B40" i="6"/>
  <c r="G40" i="6" s="1"/>
  <c r="B39" i="6"/>
  <c r="G39" i="6" s="1"/>
  <c r="B37" i="6"/>
  <c r="B36" i="6"/>
  <c r="B35" i="6"/>
  <c r="B34" i="6"/>
  <c r="B33" i="6"/>
  <c r="B32" i="6"/>
  <c r="G32" i="6" s="1"/>
  <c r="B31" i="6"/>
  <c r="B30" i="6"/>
  <c r="B29" i="6"/>
  <c r="G29" i="6" s="1"/>
  <c r="B28" i="6"/>
  <c r="G28" i="6" s="1"/>
  <c r="B26" i="6"/>
  <c r="B25" i="6"/>
  <c r="B24" i="6"/>
  <c r="B23" i="6"/>
  <c r="B22" i="6"/>
  <c r="B21" i="6"/>
  <c r="B20" i="6"/>
  <c r="B19" i="6"/>
  <c r="G19" i="6" s="1"/>
  <c r="B18" i="6"/>
  <c r="B17" i="6"/>
  <c r="B15" i="6"/>
  <c r="B13" i="6"/>
  <c r="G13" i="6" s="1"/>
  <c r="H13" i="6" s="1"/>
  <c r="D13" i="6" s="1"/>
  <c r="B12" i="6"/>
  <c r="G12" i="6" s="1"/>
  <c r="H12" i="6" s="1"/>
  <c r="D12" i="6" s="1"/>
  <c r="B11" i="6"/>
  <c r="B10" i="6"/>
  <c r="B9" i="6"/>
  <c r="B6" i="6"/>
  <c r="B4" i="6"/>
  <c r="G4" i="6" s="1"/>
  <c r="H4" i="6" s="1"/>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14" i="4" s="1"/>
  <c r="B113" i="4"/>
  <c r="H101" i="4"/>
  <c r="S51" i="4"/>
  <c r="T51" i="4"/>
  <c r="U51" i="4"/>
  <c r="V51" i="4" s="1"/>
  <c r="W51" i="4" s="1"/>
  <c r="X51" i="4"/>
  <c r="Y51" i="4" s="1"/>
  <c r="Z51" i="4" s="1"/>
  <c r="AA51" i="4" s="1"/>
  <c r="AB51" i="4" s="1"/>
  <c r="AC51" i="4" s="1"/>
  <c r="S50" i="4"/>
  <c r="T50" i="4" s="1"/>
  <c r="S49" i="4"/>
  <c r="T49" i="4" s="1"/>
  <c r="S48" i="4"/>
  <c r="S47" i="4"/>
  <c r="T46" i="4" s="1"/>
  <c r="U46" i="4" s="1"/>
  <c r="S46" i="4"/>
  <c r="S45" i="4"/>
  <c r="T45" i="4" s="1"/>
  <c r="S44" i="4"/>
  <c r="T44" i="4"/>
  <c r="U44" i="4" s="1"/>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V13" i="5"/>
  <c r="V14" i="5"/>
  <c r="V15" i="5"/>
  <c r="V16" i="5"/>
  <c r="V17" i="5"/>
  <c r="V18" i="5"/>
  <c r="X18" i="5"/>
  <c r="V19" i="5"/>
  <c r="V20" i="5"/>
  <c r="V21" i="5"/>
  <c r="V22" i="5"/>
  <c r="V23" i="5"/>
  <c r="V24" i="5"/>
  <c r="V25" i="5"/>
  <c r="V26" i="5"/>
  <c r="X26" i="5"/>
  <c r="V27" i="5"/>
  <c r="V28" i="5"/>
  <c r="V29" i="5"/>
  <c r="V30" i="5"/>
  <c r="V31" i="5"/>
  <c r="V32" i="5"/>
  <c r="V33" i="5"/>
  <c r="V34" i="5"/>
  <c r="V35" i="5"/>
  <c r="V36" i="5"/>
  <c r="V37" i="5"/>
  <c r="V38" i="5"/>
  <c r="X38" i="5"/>
  <c r="V39" i="5"/>
  <c r="V40" i="5"/>
  <c r="V41" i="5"/>
  <c r="V42" i="5"/>
  <c r="X42" i="5"/>
  <c r="V43" i="5"/>
  <c r="V44" i="5"/>
  <c r="V45" i="5"/>
  <c r="V46" i="5"/>
  <c r="X46" i="5"/>
  <c r="V47" i="5"/>
  <c r="V48" i="5"/>
  <c r="V49" i="5"/>
  <c r="V50" i="5"/>
  <c r="X50" i="5"/>
  <c r="V51" i="5"/>
  <c r="V52" i="5"/>
  <c r="V53" i="5"/>
  <c r="V54" i="5"/>
  <c r="X54" i="5"/>
  <c r="V55" i="5"/>
  <c r="V56" i="5"/>
  <c r="V57" i="5"/>
  <c r="V58" i="5"/>
  <c r="V59" i="5"/>
  <c r="V60" i="5"/>
  <c r="V61" i="5"/>
  <c r="V62" i="5"/>
  <c r="X62" i="5"/>
  <c r="V63" i="5"/>
  <c r="V64" i="5"/>
  <c r="V65" i="5"/>
  <c r="V66" i="5"/>
  <c r="X66" i="5"/>
  <c r="V67" i="5"/>
  <c r="V68" i="5"/>
  <c r="V69" i="5"/>
  <c r="V70" i="5"/>
  <c r="X70" i="5"/>
  <c r="V71" i="5"/>
  <c r="V72" i="5"/>
  <c r="V73" i="5"/>
  <c r="V74" i="5"/>
  <c r="X74" i="5"/>
  <c r="V75" i="5"/>
  <c r="V76" i="5"/>
  <c r="V77" i="5"/>
  <c r="V78" i="5"/>
  <c r="V79" i="5"/>
  <c r="V80" i="5"/>
  <c r="V81" i="5"/>
  <c r="V82" i="5"/>
  <c r="V83" i="5"/>
  <c r="V84" i="5"/>
  <c r="V85" i="5"/>
  <c r="V86" i="5"/>
  <c r="X86" i="5"/>
  <c r="V87" i="5"/>
  <c r="V88" i="5"/>
  <c r="V89" i="5"/>
  <c r="V90" i="5"/>
  <c r="V91" i="5"/>
  <c r="V92" i="5"/>
  <c r="V93" i="5"/>
  <c r="V94" i="5"/>
  <c r="X94" i="5"/>
  <c r="V95" i="5"/>
  <c r="V96" i="5"/>
  <c r="V97" i="5"/>
  <c r="V98" i="5"/>
  <c r="X98" i="5"/>
  <c r="V99" i="5"/>
  <c r="V100" i="5"/>
  <c r="V101" i="5"/>
  <c r="V102" i="5"/>
  <c r="V103" i="5"/>
  <c r="V104" i="5"/>
  <c r="V105" i="5"/>
  <c r="V106" i="5"/>
  <c r="X106" i="5"/>
  <c r="V107" i="5"/>
  <c r="V108" i="5"/>
  <c r="V109" i="5"/>
  <c r="V110" i="5"/>
  <c r="X110" i="5"/>
  <c r="V111" i="5"/>
  <c r="V112" i="5"/>
  <c r="V113" i="5"/>
  <c r="V114" i="5"/>
  <c r="V115" i="5"/>
  <c r="V116" i="5"/>
  <c r="V117" i="5"/>
  <c r="V118" i="5"/>
  <c r="X118" i="5"/>
  <c r="V119" i="5"/>
  <c r="V120" i="5"/>
  <c r="V121" i="5"/>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J74" i="6"/>
  <c r="G64" i="6"/>
  <c r="G63" i="6"/>
  <c r="G62" i="6"/>
  <c r="G61" i="6"/>
  <c r="G55" i="6"/>
  <c r="G54" i="6"/>
  <c r="G53" i="6"/>
  <c r="G52" i="6"/>
  <c r="G51" i="6"/>
  <c r="G50" i="6"/>
  <c r="G42" i="6"/>
  <c r="G41" i="6"/>
  <c r="G33" i="6"/>
  <c r="G31" i="6"/>
  <c r="G30" i="6"/>
  <c r="G1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B21" i="13"/>
  <c r="C4" i="8"/>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5" i="6"/>
  <c r="G98" i="6"/>
  <c r="G99" i="6"/>
  <c r="G108" i="6"/>
  <c r="G109" i="6"/>
  <c r="G110" i="6"/>
  <c r="G10" i="6"/>
  <c r="H10" i="6"/>
  <c r="D10" i="6" s="1"/>
  <c r="G5" i="6"/>
  <c r="H5" i="6"/>
  <c r="G6" i="6"/>
  <c r="G11" i="6"/>
  <c r="H11" i="6" s="1"/>
  <c r="D11" i="6" s="1"/>
  <c r="H14" i="6"/>
  <c r="G15" i="6"/>
  <c r="H15" i="6" s="1"/>
  <c r="D15" i="6" s="1"/>
  <c r="H16" i="6"/>
  <c r="I4" i="6"/>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9" i="5"/>
  <c r="X20" i="5"/>
  <c r="X21" i="5"/>
  <c r="X22" i="5"/>
  <c r="X23" i="5"/>
  <c r="X24" i="5"/>
  <c r="X25" i="5"/>
  <c r="X27" i="5"/>
  <c r="X28" i="5"/>
  <c r="X29" i="5"/>
  <c r="X30" i="5"/>
  <c r="X31" i="5"/>
  <c r="X32" i="5"/>
  <c r="X33" i="5"/>
  <c r="X34" i="5"/>
  <c r="X35" i="5"/>
  <c r="X36" i="5"/>
  <c r="X37" i="5"/>
  <c r="X39" i="5"/>
  <c r="X40" i="5"/>
  <c r="X41" i="5"/>
  <c r="X43" i="5"/>
  <c r="X44" i="5"/>
  <c r="X45" i="5"/>
  <c r="X47" i="5"/>
  <c r="X48" i="5"/>
  <c r="X49" i="5"/>
  <c r="X51" i="5"/>
  <c r="X52" i="5"/>
  <c r="X53" i="5"/>
  <c r="X55" i="5"/>
  <c r="X56" i="5"/>
  <c r="X57" i="5"/>
  <c r="X58" i="5"/>
  <c r="X59" i="5"/>
  <c r="X60" i="5"/>
  <c r="X61" i="5"/>
  <c r="X63" i="5"/>
  <c r="X64" i="5"/>
  <c r="X65" i="5"/>
  <c r="X67" i="5"/>
  <c r="X68" i="5"/>
  <c r="X69" i="5"/>
  <c r="X71" i="5"/>
  <c r="X72" i="5"/>
  <c r="X73" i="5"/>
  <c r="X75" i="5"/>
  <c r="X76" i="5"/>
  <c r="X77" i="5"/>
  <c r="X78" i="5"/>
  <c r="X79" i="5"/>
  <c r="X80" i="5"/>
  <c r="X81" i="5"/>
  <c r="X82" i="5"/>
  <c r="X83" i="5"/>
  <c r="X84" i="5"/>
  <c r="X85" i="5"/>
  <c r="X87" i="5"/>
  <c r="X88" i="5"/>
  <c r="X89" i="5"/>
  <c r="X90" i="5"/>
  <c r="X91" i="5"/>
  <c r="X92" i="5"/>
  <c r="X93" i="5"/>
  <c r="X95" i="5"/>
  <c r="X96" i="5"/>
  <c r="X97" i="5"/>
  <c r="X99" i="5"/>
  <c r="X100" i="5"/>
  <c r="X101" i="5"/>
  <c r="X102" i="5"/>
  <c r="X103" i="5"/>
  <c r="X104" i="5"/>
  <c r="X105" i="5"/>
  <c r="X107" i="5"/>
  <c r="X108" i="5"/>
  <c r="X109" i="5"/>
  <c r="X111" i="5"/>
  <c r="X112" i="5"/>
  <c r="X113" i="5"/>
  <c r="X114" i="5"/>
  <c r="X115" i="5"/>
  <c r="X116" i="5"/>
  <c r="X117" i="5"/>
  <c r="X119" i="5"/>
  <c r="X120" i="5"/>
  <c r="X121"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R77"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R11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R92" i="5"/>
  <c r="I212" i="5"/>
  <c r="F212" i="5"/>
  <c r="R212" i="5"/>
  <c r="H212" i="5"/>
  <c r="G212" i="5"/>
  <c r="R52" i="5"/>
  <c r="R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604" i="5"/>
  <c r="J1024" i="5"/>
  <c r="G2375" i="5"/>
  <c r="R1823" i="5"/>
  <c r="I2152" i="5"/>
  <c r="J1171" i="5"/>
  <c r="I1267"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460" i="5"/>
  <c r="I1879" i="5"/>
  <c r="F1935" i="5"/>
  <c r="H1879"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R64" i="5"/>
  <c r="R862" i="5"/>
  <c r="H862" i="5"/>
  <c r="R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F128" i="5"/>
  <c r="H534" i="5"/>
  <c r="F1174" i="5"/>
  <c r="J1190" i="5"/>
  <c r="I779" i="5"/>
  <c r="H1679" i="5"/>
  <c r="S1930" i="5"/>
  <c r="S1749" i="5"/>
  <c r="I1647" i="5"/>
  <c r="H1583" i="5"/>
  <c r="S1841" i="5"/>
  <c r="S1375" i="5"/>
  <c r="J1384" i="5"/>
  <c r="S700" i="5"/>
  <c r="F126" i="5"/>
  <c r="F190" i="5"/>
  <c r="J832" i="5"/>
  <c r="H992" i="5"/>
  <c r="I128" i="5"/>
  <c r="H1190" i="5"/>
  <c r="F327" i="5"/>
  <c r="G1679" i="5"/>
  <c r="H1647" i="5"/>
  <c r="I1519" i="5"/>
  <c r="H1384" i="5"/>
  <c r="J190"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R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F231" i="5"/>
  <c r="I1894" i="5"/>
  <c r="G166" i="5"/>
  <c r="F166" i="5"/>
  <c r="H166" i="5"/>
  <c r="R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211" i="5"/>
  <c r="J1179" i="5"/>
  <c r="J2243" i="5"/>
  <c r="H2094" i="5"/>
  <c r="R1643" i="5"/>
  <c r="I435" i="5"/>
  <c r="G1211" i="5"/>
  <c r="F1275" i="5"/>
  <c r="I1483" i="5"/>
  <c r="J839" i="5"/>
  <c r="S393" i="5"/>
  <c r="R32" i="5"/>
  <c r="I176" i="5"/>
  <c r="R1243" i="5"/>
  <c r="I2243" i="5"/>
  <c r="R2094" i="5"/>
  <c r="G2107" i="5"/>
  <c r="R1451" i="5"/>
  <c r="F1879" i="5"/>
  <c r="F429" i="5"/>
  <c r="J1211" i="5"/>
  <c r="G1272" i="5"/>
  <c r="S2439" i="5"/>
  <c r="G2230" i="5"/>
  <c r="R70" i="5"/>
  <c r="I134" i="5"/>
  <c r="H198" i="5"/>
  <c r="H1000" i="5"/>
  <c r="R48"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20" i="5"/>
  <c r="H731" i="5"/>
  <c r="H182" i="5"/>
  <c r="R342" i="5"/>
  <c r="J912" i="5"/>
  <c r="H1614" i="5"/>
  <c r="R224" i="5"/>
  <c r="R1528" i="5"/>
  <c r="J1592" i="5"/>
  <c r="G342" i="5"/>
  <c r="H1203" i="5"/>
  <c r="J1299" i="5"/>
  <c r="R2192" i="5"/>
  <c r="I2415" i="5"/>
  <c r="I824" i="5"/>
  <c r="H976" i="5"/>
  <c r="R2336" i="5"/>
  <c r="H1245" i="5"/>
  <c r="G1062" i="5"/>
  <c r="H520" i="5"/>
  <c r="R912" i="5"/>
  <c r="I1040" i="5"/>
  <c r="I1614" i="5"/>
  <c r="I336" i="5"/>
  <c r="R54"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H568" i="5"/>
  <c r="F1680" i="5"/>
  <c r="R2421" i="5"/>
  <c r="G1614" i="5"/>
  <c r="I2304" i="5"/>
  <c r="R400" i="5"/>
  <c r="F400" i="5"/>
  <c r="I1476" i="5"/>
  <c r="F1062" i="5"/>
  <c r="F520" i="5"/>
  <c r="I976" i="5"/>
  <c r="J1476" i="5"/>
  <c r="H224" i="5"/>
  <c r="G336" i="5"/>
  <c r="H1680" i="5"/>
  <c r="H160" i="5"/>
  <c r="R464" i="5"/>
  <c r="I342" i="5"/>
  <c r="R36" i="5"/>
  <c r="J998" i="5"/>
  <c r="J1680" i="5"/>
  <c r="R1680" i="5"/>
  <c r="H600" i="5"/>
  <c r="I2421" i="5"/>
  <c r="F2304" i="5"/>
  <c r="R1235" i="5"/>
  <c r="I1245" i="5"/>
  <c r="F998" i="5"/>
  <c r="G998" i="5"/>
  <c r="R118" i="5"/>
  <c r="I182" i="5"/>
  <c r="J520" i="5"/>
  <c r="H912" i="5"/>
  <c r="F976" i="5"/>
  <c r="I1550" i="5"/>
  <c r="R160" i="5"/>
  <c r="I224" i="5"/>
  <c r="J400" i="5"/>
  <c r="H342" i="5"/>
  <c r="I1424" i="5"/>
  <c r="H99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R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R88" i="5"/>
  <c r="R46" i="5"/>
  <c r="R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R63" i="5"/>
  <c r="R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R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500" i="5"/>
  <c r="G1193" i="5"/>
  <c r="J1041" i="5"/>
  <c r="H2329" i="5"/>
  <c r="I921" i="5"/>
  <c r="H1041" i="5"/>
  <c r="I461"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J2231" i="5"/>
  <c r="I2399" i="5"/>
  <c r="F1500" i="5"/>
  <c r="G1500" i="5"/>
  <c r="R2400" i="5"/>
  <c r="R113" i="5"/>
  <c r="F181" i="5"/>
  <c r="J1557" i="5"/>
  <c r="I517" i="5"/>
  <c r="F2277" i="5"/>
  <c r="G381" i="5"/>
  <c r="F2368" i="5"/>
  <c r="G2368"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H671" i="5"/>
  <c r="R729" i="5"/>
  <c r="G577"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R43" i="5"/>
  <c r="S1498" i="5"/>
  <c r="R1702" i="5"/>
  <c r="S495" i="5"/>
  <c r="S481" i="5"/>
  <c r="S1412" i="5"/>
  <c r="S414" i="5"/>
  <c r="S1446"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H539" i="5"/>
  <c r="G179" i="5"/>
  <c r="G575" i="5"/>
  <c r="R639" i="5"/>
  <c r="R179" i="5"/>
  <c r="J1982" i="5"/>
  <c r="G1571" i="5"/>
  <c r="G782" i="5"/>
  <c r="H1727" i="5"/>
  <c r="F513" i="5"/>
  <c r="I1145" i="5"/>
  <c r="I1985" i="5"/>
  <c r="J2310" i="5"/>
  <c r="R2310" i="5"/>
  <c r="I2310" i="5"/>
  <c r="G2310" i="5"/>
  <c r="G2253" i="5"/>
  <c r="J2253" i="5"/>
  <c r="I2253" i="5"/>
  <c r="H2253" i="5"/>
  <c r="F632" i="5"/>
  <c r="J632" i="5"/>
  <c r="F1329" i="5"/>
  <c r="R985" i="5"/>
  <c r="J417" i="5"/>
  <c r="R1457" i="5"/>
  <c r="G632" i="5"/>
  <c r="G739" i="5"/>
  <c r="R739" i="5"/>
  <c r="I1601" i="5"/>
  <c r="R1145" i="5"/>
  <c r="R138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R27" i="5"/>
  <c r="R53" i="5"/>
  <c r="R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R79" i="5"/>
  <c r="R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S282" i="5"/>
  <c r="F760" i="5"/>
  <c r="J760" i="5"/>
  <c r="S880" i="5"/>
  <c r="J979" i="5"/>
  <c r="F979" i="5"/>
  <c r="G979" i="5"/>
  <c r="I1344" i="5"/>
  <c r="S1374" i="5"/>
  <c r="S1536" i="5"/>
  <c r="G1579" i="5"/>
  <c r="F1579" i="5"/>
  <c r="J1579" i="5"/>
  <c r="G1744" i="5"/>
  <c r="R1744" i="5"/>
  <c r="I178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R417" i="5"/>
  <c r="G1529" i="5"/>
  <c r="F185" i="5"/>
  <c r="G1681" i="5"/>
  <c r="F929" i="5"/>
  <c r="F697" i="5"/>
  <c r="F131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R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69"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R100" i="5"/>
  <c r="G204" i="5"/>
  <c r="I204" i="5"/>
  <c r="F204" i="5"/>
  <c r="R204" i="5"/>
  <c r="H204" i="5"/>
  <c r="I652" i="5"/>
  <c r="G852" i="5"/>
  <c r="H852" i="5"/>
  <c r="J852" i="5"/>
  <c r="I852" i="5"/>
  <c r="F852" i="5"/>
  <c r="R852" i="5"/>
  <c r="F1940" i="5"/>
  <c r="I2020" i="5"/>
  <c r="H2164" i="5"/>
  <c r="F2164" i="5"/>
  <c r="I2164" i="5"/>
  <c r="J2164" i="5"/>
  <c r="R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R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R1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R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R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R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R56" i="5"/>
  <c r="F129" i="5"/>
  <c r="I129"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J1319" i="5"/>
  <c r="G2265" i="5"/>
  <c r="S1667" i="5"/>
  <c r="S1603" i="5"/>
  <c r="G1281" i="5"/>
  <c r="H2321" i="5"/>
  <c r="G1161" i="5"/>
  <c r="S1947" i="5"/>
  <c r="G2121" i="5"/>
  <c r="R84" i="5"/>
  <c r="S1867" i="5"/>
  <c r="I313"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R90"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R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R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R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R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R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R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17" i="5"/>
  <c r="S23" i="5"/>
  <c r="S29" i="5"/>
  <c r="S35" i="5"/>
  <c r="S41" i="5"/>
  <c r="S47" i="5"/>
  <c r="S53" i="5"/>
  <c r="S59" i="5"/>
  <c r="S65" i="5"/>
  <c r="S71" i="5"/>
  <c r="S77" i="5"/>
  <c r="S83" i="5"/>
  <c r="S89" i="5"/>
  <c r="S95" i="5"/>
  <c r="S101" i="5"/>
  <c r="S107" i="5"/>
  <c r="S113" i="5"/>
  <c r="S18" i="5"/>
  <c r="S24" i="5"/>
  <c r="S30" i="5"/>
  <c r="S36" i="5"/>
  <c r="S42" i="5"/>
  <c r="S48" i="5"/>
  <c r="S54" i="5"/>
  <c r="S60" i="5"/>
  <c r="S66" i="5"/>
  <c r="S72" i="5"/>
  <c r="S78" i="5"/>
  <c r="S84" i="5"/>
  <c r="S90" i="5"/>
  <c r="S96" i="5"/>
  <c r="S102" i="5"/>
  <c r="S108" i="5"/>
  <c r="S11" i="5"/>
  <c r="S9" i="5"/>
  <c r="S7" i="5"/>
  <c r="S5" i="5"/>
  <c r="S14" i="5"/>
  <c r="S20" i="5"/>
  <c r="S26" i="5"/>
  <c r="S32" i="5"/>
  <c r="S38" i="5"/>
  <c r="S44" i="5"/>
  <c r="S50" i="5"/>
  <c r="S56" i="5"/>
  <c r="S62" i="5"/>
  <c r="S68" i="5"/>
  <c r="S74" i="5"/>
  <c r="S80" i="5"/>
  <c r="S86" i="5"/>
  <c r="S92" i="5"/>
  <c r="S98" i="5"/>
  <c r="S104" i="5"/>
  <c r="S110" i="5"/>
  <c r="S21" i="5"/>
  <c r="S81" i="5"/>
  <c r="S99" i="5"/>
  <c r="S117" i="5"/>
  <c r="S6" i="5"/>
  <c r="S43" i="5"/>
  <c r="S52" i="5"/>
  <c r="S63" i="5"/>
  <c r="S73" i="5"/>
  <c r="S13" i="5"/>
  <c r="S22" i="5"/>
  <c r="S33" i="5"/>
  <c r="S8" i="5"/>
  <c r="S55" i="5"/>
  <c r="S64" i="5"/>
  <c r="S25" i="5"/>
  <c r="S34" i="5"/>
  <c r="S45" i="5"/>
  <c r="S75" i="5"/>
  <c r="S93" i="5"/>
  <c r="S111" i="5"/>
  <c r="S119" i="5"/>
  <c r="S10" i="5"/>
  <c r="S12" i="5"/>
  <c r="S15" i="5"/>
  <c r="S105" i="5"/>
  <c r="S116" i="5"/>
  <c r="S49" i="5"/>
  <c r="S16" i="5"/>
  <c r="S37" i="5"/>
  <c r="S51" i="5"/>
  <c r="S94" i="5"/>
  <c r="S91" i="5"/>
  <c r="S69" i="5"/>
  <c r="S82" i="5"/>
  <c r="S106" i="5"/>
  <c r="S118" i="5"/>
  <c r="S19" i="5"/>
  <c r="S85" i="5"/>
  <c r="S120" i="5"/>
  <c r="S79" i="5"/>
  <c r="S39" i="5"/>
  <c r="S57" i="5"/>
  <c r="S70" i="5"/>
  <c r="S97" i="5"/>
  <c r="S109" i="5"/>
  <c r="S121" i="5"/>
  <c r="S114" i="5"/>
  <c r="S67" i="5"/>
  <c r="S40" i="5"/>
  <c r="S58" i="5"/>
  <c r="S87" i="5"/>
  <c r="S27" i="5"/>
  <c r="S112" i="5"/>
  <c r="S46" i="5"/>
  <c r="S61" i="5"/>
  <c r="S76" i="5"/>
  <c r="S88" i="5"/>
  <c r="S100" i="5"/>
  <c r="S115" i="5"/>
  <c r="S31" i="5"/>
  <c r="S28" i="5"/>
  <c r="S103" i="5"/>
  <c r="H6" i="6" l="1"/>
  <c r="D6" i="6" s="1"/>
  <c r="C15" i="6"/>
  <c r="C13" i="6"/>
  <c r="C12" i="6"/>
  <c r="C11" i="6"/>
  <c r="C10" i="6"/>
  <c r="C9" i="6"/>
  <c r="G41" i="4"/>
  <c r="Z18" i="4"/>
  <c r="U49" i="4"/>
  <c r="U50" i="4"/>
  <c r="V50" i="4" s="1"/>
  <c r="U45" i="4"/>
  <c r="T48" i="4"/>
  <c r="T16" i="4"/>
  <c r="U14" i="4"/>
  <c r="S12" i="4"/>
  <c r="T12" i="4" s="1"/>
  <c r="T42" i="4"/>
  <c r="U42" i="4" s="1"/>
  <c r="U43" i="4"/>
  <c r="T13" i="4"/>
  <c r="T47" i="4"/>
  <c r="C4" i="6"/>
  <c r="D4" i="6"/>
  <c r="G89" i="4"/>
  <c r="G65" i="4"/>
  <c r="G53" i="4"/>
  <c r="G114" i="4"/>
  <c r="D101" i="4"/>
  <c r="D89" i="4"/>
  <c r="D77" i="4"/>
  <c r="D53" i="4"/>
  <c r="D65" i="4"/>
  <c r="G101" i="4"/>
  <c r="F124" i="6"/>
  <c r="G124" i="6" a="1"/>
  <c r="G124" i="6" s="1"/>
  <c r="D41" i="4"/>
  <c r="T103" i="5"/>
  <c r="T58" i="5"/>
  <c r="T85" i="5"/>
  <c r="T116" i="5"/>
  <c r="T64" i="5"/>
  <c r="T99" i="5"/>
  <c r="T56" i="5"/>
  <c r="T108" i="5"/>
  <c r="T36" i="5"/>
  <c r="T65" i="5"/>
  <c r="T44" i="5"/>
  <c r="T96" i="5"/>
  <c r="T53" i="5"/>
  <c r="T35" i="5"/>
  <c r="T72" i="5"/>
  <c r="T37" i="5"/>
  <c r="T28" i="5"/>
  <c r="T40" i="5"/>
  <c r="T19" i="5"/>
  <c r="T105" i="5"/>
  <c r="T55" i="5"/>
  <c r="T81" i="5"/>
  <c r="T50" i="5"/>
  <c r="T102" i="5"/>
  <c r="T30" i="5"/>
  <c r="T59" i="5"/>
  <c r="T8" i="5"/>
  <c r="T21" i="5"/>
  <c r="T24" i="5"/>
  <c r="T29" i="5"/>
  <c r="T31" i="5"/>
  <c r="T67" i="5"/>
  <c r="T118" i="5"/>
  <c r="T15" i="5"/>
  <c r="T115" i="5"/>
  <c r="T114" i="5"/>
  <c r="T106" i="5"/>
  <c r="T12" i="5"/>
  <c r="T33" i="5"/>
  <c r="T110" i="5"/>
  <c r="T38" i="5"/>
  <c r="T90" i="5"/>
  <c r="T18" i="5"/>
  <c r="T47" i="5"/>
  <c r="T22" i="5"/>
  <c r="T84" i="5"/>
  <c r="T113" i="5"/>
  <c r="T98" i="5"/>
  <c r="T78" i="5"/>
  <c r="T107" i="5"/>
  <c r="T100" i="5"/>
  <c r="T121" i="5"/>
  <c r="T82" i="5"/>
  <c r="T10" i="5"/>
  <c r="T104" i="5"/>
  <c r="T32" i="5"/>
  <c r="T41" i="5"/>
  <c r="T88" i="5"/>
  <c r="T109" i="5"/>
  <c r="T69" i="5"/>
  <c r="T119" i="5"/>
  <c r="T13" i="5"/>
  <c r="T26" i="5"/>
  <c r="T101" i="5"/>
  <c r="T43" i="5"/>
  <c r="T76" i="5"/>
  <c r="T97" i="5"/>
  <c r="T91" i="5"/>
  <c r="T111" i="5"/>
  <c r="T73" i="5"/>
  <c r="T92" i="5"/>
  <c r="T20" i="5"/>
  <c r="T61" i="5"/>
  <c r="T70" i="5"/>
  <c r="T94" i="5"/>
  <c r="T93" i="5"/>
  <c r="T63" i="5"/>
  <c r="T86" i="5"/>
  <c r="T14" i="5"/>
  <c r="T66" i="5"/>
  <c r="T95" i="5"/>
  <c r="T23" i="5"/>
  <c r="T46" i="5"/>
  <c r="T57" i="5"/>
  <c r="T51" i="5"/>
  <c r="T75" i="5"/>
  <c r="T52" i="5"/>
  <c r="T80" i="5"/>
  <c r="T5" i="5"/>
  <c r="T60" i="5"/>
  <c r="T89" i="5"/>
  <c r="T17" i="5"/>
  <c r="T112" i="5"/>
  <c r="T39" i="5"/>
  <c r="T45" i="5"/>
  <c r="T74" i="5"/>
  <c r="T7" i="5"/>
  <c r="T54" i="5"/>
  <c r="T83" i="5"/>
  <c r="T42" i="5"/>
  <c r="T27" i="5"/>
  <c r="T79" i="5"/>
  <c r="T16" i="5"/>
  <c r="T34" i="5"/>
  <c r="T6" i="5"/>
  <c r="T68" i="5"/>
  <c r="T9" i="5"/>
  <c r="T48" i="5"/>
  <c r="T77" i="5"/>
  <c r="T87" i="5"/>
  <c r="T120" i="5"/>
  <c r="T49" i="5"/>
  <c r="T25" i="5"/>
  <c r="T117" i="5"/>
  <c r="T62" i="5"/>
  <c r="T11" i="5"/>
  <c r="T71" i="5"/>
  <c r="C6" i="6" l="1"/>
  <c r="V14" i="4"/>
  <c r="V43" i="4"/>
  <c r="V42" i="4"/>
  <c r="W42" i="4" s="1"/>
  <c r="W50" i="4"/>
  <c r="X50" i="4" s="1"/>
  <c r="U16" i="4"/>
  <c r="U17" i="4"/>
  <c r="V17" i="4" s="1"/>
  <c r="V49" i="4"/>
  <c r="W49" i="4" s="1"/>
  <c r="U47" i="4"/>
  <c r="U48" i="4"/>
  <c r="V48" i="4" s="1"/>
  <c r="V45" i="4"/>
  <c r="V44" i="4"/>
  <c r="U13" i="4"/>
  <c r="V13" i="4" s="1"/>
  <c r="U12" i="4"/>
  <c r="V12" i="4" s="1"/>
  <c r="H124" i="6"/>
  <c r="C124" i="6"/>
  <c r="W12" i="4" l="1"/>
  <c r="X12" i="4" s="1"/>
  <c r="W13" i="4"/>
  <c r="X49" i="4"/>
  <c r="Y49" i="4" s="1"/>
  <c r="W48" i="4"/>
  <c r="X48" i="4" s="1"/>
  <c r="V47" i="4"/>
  <c r="W47" i="4" s="1"/>
  <c r="V46" i="4"/>
  <c r="V15" i="4"/>
  <c r="V16" i="4"/>
  <c r="W16" i="4" s="1"/>
  <c r="Y50" i="4"/>
  <c r="Z50" i="4" s="1"/>
  <c r="W44" i="4"/>
  <c r="W43" i="4"/>
  <c r="D124" i="6"/>
  <c r="Y48" i="4" l="1"/>
  <c r="Z48" i="4"/>
  <c r="Z49" i="4"/>
  <c r="AA49" i="4" s="1"/>
  <c r="X47" i="4"/>
  <c r="Y47" i="4" s="1"/>
  <c r="W15" i="4"/>
  <c r="X16" i="4" s="1"/>
  <c r="W14" i="4"/>
  <c r="W17" i="4"/>
  <c r="X17" i="4" s="1"/>
  <c r="W46" i="4"/>
  <c r="X46" i="4" s="1"/>
  <c r="W45" i="4"/>
  <c r="X43" i="4"/>
  <c r="X42" i="4"/>
  <c r="Y42" i="4" s="1"/>
  <c r="AA50" i="4"/>
  <c r="AB50" i="4" s="1"/>
  <c r="Y46" i="4" l="1"/>
  <c r="Z46" i="4" s="1"/>
  <c r="Z47" i="4"/>
  <c r="AA47" i="4" s="1"/>
  <c r="AB49" i="4"/>
  <c r="AC49" i="4" s="1"/>
  <c r="Y16" i="4"/>
  <c r="Y17" i="4"/>
  <c r="Z17" i="4" s="1"/>
  <c r="AA48" i="4"/>
  <c r="AB48" i="4" s="1"/>
  <c r="X15" i="4"/>
  <c r="X13" i="4"/>
  <c r="X14" i="4"/>
  <c r="AC50" i="4"/>
  <c r="X45" i="4"/>
  <c r="Y45" i="4" s="1"/>
  <c r="X44" i="4"/>
  <c r="AC48" i="4" l="1"/>
  <c r="Z45" i="4"/>
  <c r="AA45" i="4" s="1"/>
  <c r="Y12" i="4"/>
  <c r="Z12" i="4" s="1"/>
  <c r="Y13" i="4"/>
  <c r="Y44" i="4"/>
  <c r="Z44" i="4" s="1"/>
  <c r="Y43" i="4"/>
  <c r="AA46" i="4"/>
  <c r="AB46" i="4" s="1"/>
  <c r="Y15" i="4"/>
  <c r="Z15" i="4" s="1"/>
  <c r="Y14" i="4"/>
  <c r="AB47" i="4"/>
  <c r="AC47" i="4" s="1"/>
  <c r="AC46" i="4" l="1"/>
  <c r="AA44" i="4"/>
  <c r="AB44" i="4" s="1"/>
  <c r="AA12" i="4"/>
  <c r="AA13" i="4" s="1" a="1"/>
  <c r="AA13" i="4" s="1"/>
  <c r="Z16" i="4"/>
  <c r="Z14" i="4"/>
  <c r="Z13" i="4"/>
  <c r="Z43" i="4"/>
  <c r="AA43" i="4" s="1"/>
  <c r="Z42" i="4"/>
  <c r="AA42" i="4" s="1"/>
  <c r="AB45" i="4" l="1"/>
  <c r="AC45" i="4" s="1"/>
  <c r="AB42" i="4"/>
  <c r="AC42" i="4" s="1"/>
  <c r="AB43" i="4"/>
  <c r="AC44" i="4" s="1"/>
  <c r="A115" i="6"/>
  <c r="G115" i="6" s="1"/>
  <c r="B31" i="4"/>
  <c r="AA14" i="4" a="1"/>
  <c r="AA14" i="4" s="1"/>
  <c r="AA16" i="4" s="1" a="1"/>
  <c r="AA16" i="4" s="1"/>
  <c r="AA15" i="4" a="1"/>
  <c r="AA15" i="4" s="1"/>
  <c r="B30" i="4"/>
  <c r="A114" i="6"/>
  <c r="G114" i="6" s="1"/>
  <c r="AC43" i="4" l="1"/>
  <c r="B34" i="4"/>
  <c r="A118" i="6"/>
  <c r="G118" i="6" s="1"/>
  <c r="AA19" i="4" a="1"/>
  <c r="AA19" i="4" s="1"/>
  <c r="A117" i="6"/>
  <c r="G117" i="6" s="1"/>
  <c r="B33" i="4"/>
  <c r="A17" i="6"/>
  <c r="G7" i="6"/>
  <c r="H7" i="6" s="1"/>
  <c r="O30" i="4"/>
  <c r="A18" i="6"/>
  <c r="O31" i="4"/>
  <c r="AA18" i="4" a="1"/>
  <c r="AA18" i="4" s="1"/>
  <c r="A116" i="6"/>
  <c r="G116" i="6" s="1"/>
  <c r="B32" i="4"/>
  <c r="AA17" i="4" a="1"/>
  <c r="AA17" i="4" s="1"/>
  <c r="P54" i="4" l="1"/>
  <c r="P42" i="4"/>
  <c r="B42" i="4" s="1"/>
  <c r="A28" i="6" s="1"/>
  <c r="A19" i="6"/>
  <c r="O32" i="4"/>
  <c r="D7" i="6"/>
  <c r="C7" i="6"/>
  <c r="B37" i="4"/>
  <c r="A121" i="6"/>
  <c r="B36" i="4"/>
  <c r="A120" i="6"/>
  <c r="F39" i="6"/>
  <c r="F28" i="6"/>
  <c r="H28" i="6" s="1"/>
  <c r="F17" i="6"/>
  <c r="H17" i="6" s="1"/>
  <c r="AA20" i="4" a="1"/>
  <c r="AA20" i="4" s="1"/>
  <c r="A20" i="6"/>
  <c r="O33" i="4"/>
  <c r="B35" i="4"/>
  <c r="A119" i="6"/>
  <c r="G119" i="6" s="1"/>
  <c r="P43" i="4"/>
  <c r="B43" i="4" s="1"/>
  <c r="A29" i="6" s="1"/>
  <c r="P55" i="4"/>
  <c r="A21" i="6"/>
  <c r="O34" i="4"/>
  <c r="F18" i="6"/>
  <c r="H18" i="6" s="1"/>
  <c r="F40" i="6"/>
  <c r="F29" i="6"/>
  <c r="H29" i="6" s="1"/>
  <c r="K114" i="6" l="1"/>
  <c r="D28" i="6"/>
  <c r="C28" i="6"/>
  <c r="K115" i="6"/>
  <c r="D29" i="6"/>
  <c r="C29" i="6"/>
  <c r="A22" i="6"/>
  <c r="O35" i="4"/>
  <c r="B137" i="4"/>
  <c r="A111" i="6" s="1"/>
  <c r="B135" i="4"/>
  <c r="A110" i="6" s="1"/>
  <c r="B133" i="4"/>
  <c r="A109" i="6" s="1"/>
  <c r="B131" i="4"/>
  <c r="A108" i="6" s="1"/>
  <c r="B119" i="4"/>
  <c r="A97" i="6" s="1"/>
  <c r="B117" i="4"/>
  <c r="A95" i="6" s="1"/>
  <c r="B115" i="4"/>
  <c r="A94" i="6" s="1"/>
  <c r="B102" i="4"/>
  <c r="A83" i="6" s="1"/>
  <c r="B54" i="4"/>
  <c r="A39" i="6" s="1"/>
  <c r="B90" i="4"/>
  <c r="A72" i="6" s="1"/>
  <c r="B78" i="4"/>
  <c r="A61" i="6" s="1"/>
  <c r="B120" i="4"/>
  <c r="A98" i="6" s="1"/>
  <c r="B66" i="4"/>
  <c r="A50" i="6" s="1"/>
  <c r="H40" i="6"/>
  <c r="F99" i="6"/>
  <c r="H99" i="6" s="1"/>
  <c r="F115" i="6"/>
  <c r="H115" i="6" s="1"/>
  <c r="F51" i="6"/>
  <c r="O36" i="4"/>
  <c r="A23" i="6"/>
  <c r="C18" i="6"/>
  <c r="D18" i="6"/>
  <c r="A24" i="6"/>
  <c r="O37" i="4"/>
  <c r="P58" i="4"/>
  <c r="P46" i="4"/>
  <c r="B46" i="4" s="1"/>
  <c r="A32" i="6" s="1"/>
  <c r="F21" i="6"/>
  <c r="H21" i="6" s="1"/>
  <c r="F32" i="6"/>
  <c r="H32" i="6" s="1"/>
  <c r="F43" i="6"/>
  <c r="P57" i="4"/>
  <c r="P45" i="4"/>
  <c r="B45" i="4" s="1"/>
  <c r="A31" i="6" s="1"/>
  <c r="B103" i="4"/>
  <c r="A84" i="6" s="1"/>
  <c r="B91" i="4"/>
  <c r="A73" i="6" s="1"/>
  <c r="B79" i="4"/>
  <c r="A62" i="6" s="1"/>
  <c r="B121" i="4"/>
  <c r="A99" i="6" s="1"/>
  <c r="B55" i="4"/>
  <c r="A40" i="6" s="1"/>
  <c r="B67" i="4"/>
  <c r="A51" i="6" s="1"/>
  <c r="F31" i="6"/>
  <c r="H31" i="6" s="1"/>
  <c r="F20" i="6"/>
  <c r="H20" i="6" s="1"/>
  <c r="F42" i="6"/>
  <c r="A122" i="6"/>
  <c r="B38" i="4"/>
  <c r="AA21" i="4" a="1"/>
  <c r="AA21" i="4" s="1"/>
  <c r="AA22" i="4" s="1"/>
  <c r="AA23" i="4" s="1"/>
  <c r="D17" i="6"/>
  <c r="C17" i="6"/>
  <c r="P44" i="4"/>
  <c r="B44" i="4" s="1"/>
  <c r="A30" i="6" s="1"/>
  <c r="P56" i="4"/>
  <c r="F30" i="6"/>
  <c r="H30" i="6" s="1"/>
  <c r="F41" i="6"/>
  <c r="F19" i="6"/>
  <c r="H19" i="6" s="1"/>
  <c r="H39" i="6"/>
  <c r="F114" i="6"/>
  <c r="F98" i="6"/>
  <c r="H98" i="6" s="1"/>
  <c r="F50" i="6"/>
  <c r="Q41" i="4" l="1"/>
  <c r="B41" i="4" s="1"/>
  <c r="A27" i="6" s="1"/>
  <c r="Q53" i="4"/>
  <c r="D98" i="6"/>
  <c r="C98" i="6"/>
  <c r="B94" i="4"/>
  <c r="A76" i="6" s="1"/>
  <c r="B106" i="4"/>
  <c r="A87" i="6" s="1"/>
  <c r="B124" i="4"/>
  <c r="A102" i="6" s="1"/>
  <c r="B70" i="4"/>
  <c r="A54" i="6" s="1"/>
  <c r="B58" i="4"/>
  <c r="A43" i="6" s="1"/>
  <c r="B82" i="4"/>
  <c r="A65" i="6" s="1"/>
  <c r="P47" i="4"/>
  <c r="B47" i="4" s="1"/>
  <c r="A33" i="6" s="1"/>
  <c r="P59" i="4"/>
  <c r="B2" i="6"/>
  <c r="H114" i="6"/>
  <c r="O38" i="4"/>
  <c r="A25" i="6"/>
  <c r="P61" i="4"/>
  <c r="P49" i="4"/>
  <c r="B49" i="4" s="1"/>
  <c r="A35" i="6" s="1"/>
  <c r="F33" i="6"/>
  <c r="H33" i="6" s="1"/>
  <c r="F22" i="6"/>
  <c r="H22" i="6" s="1"/>
  <c r="F44" i="6"/>
  <c r="F117" i="6"/>
  <c r="H117" i="6" s="1"/>
  <c r="H42" i="6"/>
  <c r="F53" i="6"/>
  <c r="F101" i="6"/>
  <c r="H101" i="6" s="1"/>
  <c r="K118" i="6"/>
  <c r="D32" i="6"/>
  <c r="C32" i="6"/>
  <c r="D99" i="6"/>
  <c r="C99" i="6"/>
  <c r="D20" i="6"/>
  <c r="C20" i="6"/>
  <c r="C21" i="6"/>
  <c r="D21" i="6"/>
  <c r="C40" i="6"/>
  <c r="D40" i="6"/>
  <c r="H50" i="6"/>
  <c r="F61" i="6"/>
  <c r="A123" i="6"/>
  <c r="B39" i="4"/>
  <c r="D19" i="6"/>
  <c r="C19" i="6"/>
  <c r="H41" i="6"/>
  <c r="F100" i="6"/>
  <c r="H100" i="6" s="1"/>
  <c r="F52" i="6"/>
  <c r="F116" i="6"/>
  <c r="H116" i="6" s="1"/>
  <c r="D30" i="6"/>
  <c r="K116" i="6"/>
  <c r="C30" i="6"/>
  <c r="P60" i="4"/>
  <c r="P48" i="4"/>
  <c r="B48" i="4" s="1"/>
  <c r="A34" i="6" s="1"/>
  <c r="B92" i="4"/>
  <c r="A74" i="6" s="1"/>
  <c r="B104" i="4"/>
  <c r="A85" i="6" s="1"/>
  <c r="B68" i="4"/>
  <c r="A52" i="6" s="1"/>
  <c r="B56" i="4"/>
  <c r="A41" i="6" s="1"/>
  <c r="B122" i="4"/>
  <c r="A100" i="6" s="1"/>
  <c r="B80" i="4"/>
  <c r="A63" i="6" s="1"/>
  <c r="B123" i="4"/>
  <c r="A101" i="6" s="1"/>
  <c r="B69" i="4"/>
  <c r="A53" i="6" s="1"/>
  <c r="B105" i="4"/>
  <c r="A86" i="6" s="1"/>
  <c r="B81" i="4"/>
  <c r="A64" i="6" s="1"/>
  <c r="B93" i="4"/>
  <c r="A75" i="6" s="1"/>
  <c r="B57" i="4"/>
  <c r="A42" i="6" s="1"/>
  <c r="H51" i="6"/>
  <c r="F62" i="6"/>
  <c r="C31" i="6"/>
  <c r="K117" i="6"/>
  <c r="D31" i="6"/>
  <c r="D39" i="6"/>
  <c r="C39" i="6"/>
  <c r="F102" i="6"/>
  <c r="H102" i="6" s="1"/>
  <c r="F54" i="6"/>
  <c r="F118" i="6"/>
  <c r="H118" i="6" s="1"/>
  <c r="H43" i="6"/>
  <c r="D115" i="6"/>
  <c r="C115" i="6"/>
  <c r="D51" i="6" l="1"/>
  <c r="C51" i="6"/>
  <c r="D42" i="6"/>
  <c r="C42" i="6"/>
  <c r="C117" i="6"/>
  <c r="D117" i="6"/>
  <c r="B108" i="4"/>
  <c r="A89" i="6" s="1"/>
  <c r="B84" i="4"/>
  <c r="A67" i="6" s="1"/>
  <c r="B72" i="4"/>
  <c r="A56" i="6" s="1"/>
  <c r="B126" i="4"/>
  <c r="A104" i="6" s="1"/>
  <c r="B96" i="4"/>
  <c r="A78" i="6" s="1"/>
  <c r="B60" i="4"/>
  <c r="A45" i="6" s="1"/>
  <c r="D118" i="6"/>
  <c r="C118" i="6"/>
  <c r="H54" i="6"/>
  <c r="F65" i="6"/>
  <c r="B61" i="4"/>
  <c r="A46" i="6" s="1"/>
  <c r="B97" i="4"/>
  <c r="A79" i="6" s="1"/>
  <c r="B73" i="4"/>
  <c r="A57" i="6" s="1"/>
  <c r="B109" i="4"/>
  <c r="A90" i="6" s="1"/>
  <c r="B127" i="4"/>
  <c r="A105" i="6" s="1"/>
  <c r="B85" i="4"/>
  <c r="A68" i="6" s="1"/>
  <c r="H52" i="6"/>
  <c r="F63" i="6"/>
  <c r="D43" i="6"/>
  <c r="C43" i="6"/>
  <c r="F119" i="6"/>
  <c r="H119" i="6" s="1"/>
  <c r="F55" i="6"/>
  <c r="H44" i="6"/>
  <c r="F103" i="6"/>
  <c r="H103" i="6" s="1"/>
  <c r="K119" i="6"/>
  <c r="D33" i="6"/>
  <c r="C33" i="6"/>
  <c r="D102" i="6"/>
  <c r="C102" i="6"/>
  <c r="D100" i="6"/>
  <c r="C100" i="6"/>
  <c r="F72" i="6"/>
  <c r="H61" i="6"/>
  <c r="C114" i="6"/>
  <c r="D114" i="6"/>
  <c r="B101" i="4"/>
  <c r="A82" i="6" s="1"/>
  <c r="B53" i="4"/>
  <c r="A38" i="6" s="1"/>
  <c r="B89" i="4"/>
  <c r="A71" i="6" s="1"/>
  <c r="B65" i="4"/>
  <c r="A49" i="6" s="1"/>
  <c r="B77" i="4"/>
  <c r="A60" i="6" s="1"/>
  <c r="O39" i="4"/>
  <c r="A26" i="6"/>
  <c r="D22" i="6"/>
  <c r="C22" i="6"/>
  <c r="D116" i="6"/>
  <c r="C116" i="6"/>
  <c r="P62" i="4"/>
  <c r="P50" i="4"/>
  <c r="B50" i="4" s="1"/>
  <c r="A36" i="6" s="1"/>
  <c r="C41" i="6"/>
  <c r="D41" i="6"/>
  <c r="D50" i="6"/>
  <c r="C50" i="6"/>
  <c r="D101" i="6"/>
  <c r="C101" i="6"/>
  <c r="F73" i="6"/>
  <c r="H62" i="6"/>
  <c r="F64" i="6"/>
  <c r="H53" i="6"/>
  <c r="B125" i="4"/>
  <c r="A103" i="6" s="1"/>
  <c r="B107" i="4"/>
  <c r="A88" i="6" s="1"/>
  <c r="B95" i="4"/>
  <c r="A77" i="6" s="1"/>
  <c r="B59" i="4"/>
  <c r="A44" i="6" s="1"/>
  <c r="B83" i="4"/>
  <c r="A66" i="6" s="1"/>
  <c r="B71" i="4"/>
  <c r="A55" i="6" s="1"/>
  <c r="F94" i="6"/>
  <c r="F108" i="6" l="1"/>
  <c r="H108" i="6" s="1"/>
  <c r="F110" i="6"/>
  <c r="H110" i="6" s="1"/>
  <c r="F111" i="6"/>
  <c r="H111" i="6" s="1"/>
  <c r="H94" i="6"/>
  <c r="F95" i="6"/>
  <c r="F109" i="6"/>
  <c r="H109" i="6" s="1"/>
  <c r="F74" i="6"/>
  <c r="H63" i="6"/>
  <c r="D62" i="6"/>
  <c r="C62" i="6"/>
  <c r="D103" i="6"/>
  <c r="C103" i="6"/>
  <c r="B62" i="4"/>
  <c r="A47" i="6" s="1"/>
  <c r="B110" i="4"/>
  <c r="A91" i="6" s="1"/>
  <c r="B128" i="4"/>
  <c r="A106" i="6" s="1"/>
  <c r="B98" i="4"/>
  <c r="A80" i="6" s="1"/>
  <c r="B86" i="4"/>
  <c r="A69" i="6" s="1"/>
  <c r="B74" i="4"/>
  <c r="A58" i="6" s="1"/>
  <c r="H64" i="6"/>
  <c r="F75" i="6"/>
  <c r="F76" i="6"/>
  <c r="H65" i="6"/>
  <c r="C119" i="6"/>
  <c r="D119" i="6"/>
  <c r="H73" i="6"/>
  <c r="F84" i="6"/>
  <c r="H84" i="6" s="1"/>
  <c r="F83" i="6"/>
  <c r="H83" i="6" s="1"/>
  <c r="H72" i="6"/>
  <c r="P63" i="4"/>
  <c r="P51" i="4"/>
  <c r="B51" i="4" s="1"/>
  <c r="A37" i="6" s="1"/>
  <c r="D52" i="6"/>
  <c r="C52" i="6"/>
  <c r="D53" i="6"/>
  <c r="C53" i="6"/>
  <c r="D44" i="6"/>
  <c r="C44" i="6"/>
  <c r="H55" i="6"/>
  <c r="F66" i="6"/>
  <c r="D61" i="6"/>
  <c r="C61" i="6"/>
  <c r="D54" i="6"/>
  <c r="C54" i="6"/>
  <c r="D65" i="6" l="1"/>
  <c r="C65" i="6"/>
  <c r="B87" i="4"/>
  <c r="A70" i="6" s="1"/>
  <c r="B63" i="4"/>
  <c r="A48" i="6" s="1"/>
  <c r="B111" i="4"/>
  <c r="A92" i="6" s="1"/>
  <c r="B129" i="4"/>
  <c r="A107" i="6" s="1"/>
  <c r="B99" i="4"/>
  <c r="A81" i="6" s="1"/>
  <c r="B75" i="4"/>
  <c r="A59" i="6" s="1"/>
  <c r="H95" i="6"/>
  <c r="F96" i="6"/>
  <c r="H96" i="6" s="1"/>
  <c r="H76" i="6"/>
  <c r="F87" i="6"/>
  <c r="H87" i="6" s="1"/>
  <c r="F77" i="6"/>
  <c r="H66" i="6"/>
  <c r="C110" i="6"/>
  <c r="D110" i="6"/>
  <c r="F86" i="6"/>
  <c r="H86" i="6" s="1"/>
  <c r="H75" i="6"/>
  <c r="C63" i="6"/>
  <c r="D63" i="6"/>
  <c r="D64" i="6"/>
  <c r="C64" i="6"/>
  <c r="H74" i="6"/>
  <c r="F85" i="6"/>
  <c r="H85" i="6" s="1"/>
  <c r="D109" i="6"/>
  <c r="C109" i="6"/>
  <c r="D72" i="6"/>
  <c r="C72" i="6"/>
  <c r="D94" i="6"/>
  <c r="C94" i="6"/>
  <c r="D83" i="6"/>
  <c r="C83" i="6"/>
  <c r="D111" i="6"/>
  <c r="C111" i="6"/>
  <c r="D84" i="6"/>
  <c r="C84" i="6"/>
  <c r="D55" i="6"/>
  <c r="C55" i="6"/>
  <c r="C73" i="6"/>
  <c r="D73" i="6"/>
  <c r="D108" i="6"/>
  <c r="C108" i="6"/>
  <c r="D76" i="6" l="1"/>
  <c r="C76" i="6"/>
  <c r="D96" i="6"/>
  <c r="C96" i="6"/>
  <c r="D86" i="6"/>
  <c r="C86" i="6"/>
  <c r="D75" i="6"/>
  <c r="C75" i="6"/>
  <c r="D74" i="6"/>
  <c r="C74" i="6"/>
  <c r="D87" i="6"/>
  <c r="C87" i="6"/>
  <c r="D95" i="6"/>
  <c r="C95" i="6"/>
  <c r="D66" i="6"/>
  <c r="C66" i="6"/>
  <c r="D85" i="6"/>
  <c r="C85" i="6"/>
  <c r="H77" i="6"/>
  <c r="F88" i="6"/>
  <c r="H88" i="6" s="1"/>
  <c r="D88" i="6" l="1"/>
  <c r="C88" i="6"/>
  <c r="D77" i="6"/>
  <c r="C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<sst xmlns="http://schemas.openxmlformats.org/spreadsheetml/2006/main" count="28950" uniqueCount="20069">
  <si>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</si>
  <si>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</si>
  <si>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</si>
  <si>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</si>
  <si>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</si>
  <si>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</si>
  <si>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</si>
  <si>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</si>
  <si>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</si>
  <si>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</si>
  <si>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</si>
  <si>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</si>
  <si>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</si>
  <si>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</si>
  <si>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</si>
  <si>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</si>
  <si>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</si>
  <si>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</si>
  <si>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</si>
  <si>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</si>
  <si>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</si>
  <si>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</si>
  <si>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</si>
  <si>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</si>
  <si>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</si>
  <si>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</si>
  <si>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</si>
  <si>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</si>
  <si>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</si>
  <si>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</si>
  <si>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</si>
  <si>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</si>
  <si>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</si>
  <si>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</si>
  <si>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</si>
  <si>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</si>
  <si>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</si>
  <si>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</si>
  <si>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</si>
  <si>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</si>
  <si>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</si>
  <si>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</si>
  <si>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</si>
  <si>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</si>
  <si>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</si>
  <si>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</si>
  <si>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</si>
  <si>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</si>
  <si>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</si>
  <si>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</si>
  <si>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</si>
  <si>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</si>
  <si>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</si>
  <si>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</si>
  <si>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</si>
  <si>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</si>
  <si>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</si>
  <si>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</si>
  <si>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</si>
  <si>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</si>
  <si>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</si>
  <si>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</si>
  <si>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</si>
  <si>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</si>
  <si>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</si>
  <si>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</si>
  <si>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</si>
  <si>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</si>
  <si>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</si>
  <si>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</si>
  <si>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</si>
  <si>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</si>
  <si>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</si>
  <si>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</si>
  <si>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</si>
  <si>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</si>
  <si>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</si>
  <si>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</si>
  <si>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</si>
  <si>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</si>
  <si>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</si>
  <si>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</si>
  <si>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</si>
  <si>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</si>
  <si>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</si>
  <si>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</si>
  <si>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</si>
  <si>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</si>
  <si>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</si>
  <si>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</si>
  <si>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</si>
  <si>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</si>
  <si>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</si>
  <si>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</si>
  <si>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</si>
  <si>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</si>
  <si>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</si>
  <si>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</si>
  <si>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</si>
  <si>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</si>
  <si>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</si>
  <si>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</si>
  <si>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</si>
  <si>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</si>
  <si>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</si>
  <si>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</si>
  <si>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</si>
  <si>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</si>
  <si>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</si>
  <si>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</si>
  <si>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</si>
  <si>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</si>
  <si>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</si>
  <si>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</si>
  <si>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</si>
  <si>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</si>
  <si>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</si>
  <si>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</si>
  <si>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</si>
  <si>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</si>
  <si>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</si>
  <si>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</si>
  <si>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</si>
  <si>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</si>
  <si>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</si>
  <si>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</si>
  <si>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</si>
  <si>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</si>
  <si>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</si>
  <si>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</si>
  <si>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</si>
  <si>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</si>
  <si>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</si>
  <si>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</si>
  <si>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</si>
  <si>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</si>
  <si>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</si>
  <si>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</si>
  <si>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</si>
  <si>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</si>
  <si>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</si>
  <si>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</si>
  <si>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</si>
  <si>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</si>
  <si>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</si>
  <si>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</si>
  <si>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</si>
  <si>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</si>
  <si>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</si>
  <si>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</si>
  <si>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</si>
  <si>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</si>
  <si>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</si>
  <si>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</si>
  <si>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</si>
  <si>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</si>
  <si>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</si>
  <si>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</si>
  <si>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</si>
  <si>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</si>
  <si>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</si>
  <si>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</si>
  <si>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</si>
  <si>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</si>
  <si>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</si>
  <si>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</si>
  <si>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</si>
  <si>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</si>
  <si>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</si>
  <si>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</si>
  <si>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</si>
  <si>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</si>
  <si>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</si>
  <si>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</si>
  <si>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</si>
  <si>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</si>
  <si>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</si>
  <si>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</si>
  <si>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</si>
  <si>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</si>
  <si>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</si>
  <si>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</si>
  <si>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</si>
  <si>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</si>
  <si>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</si>
  <si>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</si>
  <si>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</si>
  <si>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</si>
  <si>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</si>
  <si>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</si>
  <si>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</si>
  <si>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</si>
  <si>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</si>
  <si>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</si>
  <si>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</si>
  <si>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</si>
  <si>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</si>
  <si>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</si>
  <si>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</si>
  <si>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</si>
  <si>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</si>
  <si>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</si>
  <si>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</si>
  <si>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</si>
  <si>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</si>
  <si>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</si>
  <si>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</si>
  <si>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</si>
  <si>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</si>
  <si>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</si>
  <si>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</si>
  <si>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</si>
  <si>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</si>
  <si>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</si>
  <si>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</si>
  <si>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</si>
  <si>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</si>
  <si>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</si>
  <si>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</si>
  <si>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</si>
  <si>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</si>
  <si>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</si>
  <si>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</si>
  <si>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</si>
  <si>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</si>
  <si>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</si>
  <si>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</si>
  <si>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</si>
  <si>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</si>
  <si>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</si>
  <si>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</si>
  <si>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</si>
  <si>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</si>
  <si>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</si>
  <si>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</si>
  <si>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</si>
  <si>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</si>
  <si>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</si>
  <si>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</si>
  <si>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</si>
  <si>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</si>
  <si>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</si>
  <si>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</si>
  <si>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</si>
  <si>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</si>
  <si>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</si>
  <si>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</si>
  <si>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</si>
  <si>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</si>
  <si>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</si>
  <si>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</si>
  <si>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</si>
  <si>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</si>
  <si>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</si>
  <si>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</si>
  <si>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</si>
  <si>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</si>
  <si>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</si>
  <si>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</si>
  <si>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</si>
  <si>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</si>
  <si>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</si>
  <si>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</si>
  <si>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</si>
  <si>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</si>
  <si>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</si>
  <si>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</si>
  <si>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</si>
  <si>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</si>
  <si>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</si>
  <si>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</si>
  <si>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</si>
  <si>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</si>
  <si>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</si>
  <si>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</si>
  <si>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</si>
  <si>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</si>
  <si>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</si>
  <si>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</si>
  <si>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</si>
  <si>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</si>
  <si>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</si>
  <si>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</si>
  <si>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</si>
  <si>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</si>
  <si>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</si>
  <si>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</si>
  <si>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</si>
  <si>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</si>
  <si>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</si>
  <si>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</si>
  <si>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</si>
  <si>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</si>
  <si>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</si>
  <si>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</si>
  <si>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</si>
  <si>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</si>
  <si>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</si>
  <si>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</si>
  <si>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</si>
  <si>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</si>
  <si>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</si>
  <si>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</si>
  <si>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</si>
  <si>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</si>
  <si>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</si>
  <si>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</si>
  <si>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</si>
  <si>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</si>
  <si>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</si>
  <si>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</si>
  <si>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</si>
  <si>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</si>
  <si>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</si>
  <si>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</si>
  <si>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</si>
  <si>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</si>
  <si>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</si>
  <si>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</si>
  <si>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</si>
  <si>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</si>
  <si>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</si>
  <si>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</si>
  <si>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</si>
  <si>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</si>
  <si>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</si>
  <si>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</si>
  <si>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</si>
  <si>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</si>
  <si>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</si>
  <si>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</si>
  <si>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</si>
  <si>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</si>
  <si>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</si>
  <si>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</si>
  <si>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</si>
  <si>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</si>
  <si>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</si>
  <si>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</si>
  <si>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</si>
  <si>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</si>
  <si>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</si>
  <si>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</si>
  <si>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</si>
  <si>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</si>
  <si>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</si>
  <si>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</si>
  <si>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</si>
  <si>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</si>
  <si>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</si>
  <si>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</si>
  <si>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</si>
  <si>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</si>
  <si>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</si>
  <si>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</si>
  <si>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</si>
  <si>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</si>
  <si>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</si>
  <si>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</si>
  <si>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</si>
  <si>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</si>
  <si>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</si>
  <si>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</si>
  <si>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</si>
  <si>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</si>
  <si>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</si>
  <si>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</si>
  <si>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</si>
  <si>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</si>
  <si>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</si>
  <si>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</si>
  <si>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</si>
  <si>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</si>
  <si>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</si>
  <si>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</si>
  <si>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</si>
  <si>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</si>
  <si>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</si>
  <si>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</si>
  <si>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</si>
  <si>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</si>
  <si>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</si>
  <si>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</si>
  <si>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</si>
  <si>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</si>
  <si>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</si>
  <si>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</si>
  <si>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</si>
  <si>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</si>
  <si>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</si>
  <si>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</si>
  <si>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</si>
  <si>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</si>
  <si>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</si>
  <si>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</si>
  <si>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</si>
  <si>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</si>
  <si>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</si>
  <si>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</si>
  <si>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</si>
  <si>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</si>
  <si>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</si>
  <si>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</si>
  <si>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</si>
  <si>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</si>
  <si>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</si>
  <si>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</si>
  <si>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</si>
  <si>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</si>
  <si>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</si>
  <si>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</si>
  <si>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</si>
  <si>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</si>
  <si>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</si>
  <si>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</si>
  <si>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</si>
  <si>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</si>
  <si>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</si>
  <si>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</si>
  <si>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</si>
  <si>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</si>
  <si>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</si>
  <si>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</si>
  <si>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</si>
  <si>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</si>
  <si>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</si>
  <si>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</si>
  <si>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</si>
  <si>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</si>
  <si>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</si>
  <si>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</si>
  <si>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</si>
  <si>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</si>
  <si>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</si>
  <si>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</si>
  <si>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</si>
  <si>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</si>
  <si>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</si>
  <si>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</si>
  <si>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</si>
  <si>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</si>
  <si>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</si>
  <si>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</si>
  <si>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</si>
  <si>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</si>
  <si>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</si>
  <si>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</si>
  <si>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</si>
  <si>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</si>
  <si>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</si>
  <si>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</si>
  <si>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</si>
  <si>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</si>
  <si>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</si>
  <si>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</si>
  <si>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</si>
  <si>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</si>
  <si>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</si>
  <si>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</si>
  <si>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</si>
  <si>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</si>
  <si>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</si>
  <si>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</si>
  <si>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</si>
  <si>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</si>
  <si>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</si>
  <si>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</si>
  <si>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</si>
  <si>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</si>
  <si>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</si>
  <si>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</si>
  <si>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</si>
  <si>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</si>
  <si>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</si>
  <si>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</si>
  <si>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</si>
  <si>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</si>
  <si>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</si>
  <si>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</si>
  <si>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</si>
  <si>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</si>
  <si>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</si>
  <si>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</si>
  <si>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</si>
  <si>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</si>
  <si>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</si>
  <si>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</si>
  <si>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</si>
  <si>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</si>
  <si>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</si>
  <si>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</si>
  <si>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</si>
  <si>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</si>
  <si>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</si>
  <si>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</si>
  <si>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</si>
  <si>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</si>
  <si>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</si>
  <si>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</si>
  <si>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</si>
  <si>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</si>
  <si>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</si>
  <si>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</si>
  <si>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</si>
  <si>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</si>
  <si>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</si>
  <si>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</si>
  <si>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</si>
  <si>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</si>
  <si>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</si>
  <si>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</si>
  <si>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</si>
  <si>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</si>
  <si>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</si>
  <si>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</si>
  <si>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</si>
  <si>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</si>
  <si>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</si>
  <si>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</si>
  <si>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</si>
  <si>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</si>
  <si>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</si>
  <si>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</si>
  <si>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</si>
  <si>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</si>
  <si>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</si>
  <si>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</si>
  <si>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</si>
  <si>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</si>
  <si>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</si>
  <si>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</si>
  <si>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</si>
  <si>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</si>
  <si>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</si>
  <si>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</si>
  <si>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</si>
  <si>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</si>
  <si>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</si>
  <si>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</si>
  <si>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</si>
  <si>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</si>
  <si>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</si>
  <si>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</si>
  <si>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</si>
  <si>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</si>
  <si>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</si>
  <si>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</si>
  <si>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</si>
  <si>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</si>
  <si>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</si>
  <si>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</si>
  <si>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</si>
  <si>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</si>
  <si>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</si>
  <si>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</si>
  <si>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</si>
  <si>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</si>
  <si>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</si>
  <si>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</si>
  <si>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</si>
  <si>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</si>
  <si>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</si>
  <si>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</si>
  <si>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</si>
  <si>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</si>
  <si>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</si>
  <si>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</si>
  <si>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</si>
  <si>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</si>
  <si>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</si>
  <si>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</si>
  <si>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</si>
  <si>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</si>
  <si>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</si>
  <si>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</si>
  <si>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</si>
  <si>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</si>
  <si>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</si>
  <si>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</si>
  <si>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</si>
  <si>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</si>
  <si>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</si>
  <si>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</si>
  <si>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</si>
  <si>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</si>
  <si>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</si>
  <si>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</si>
  <si>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</si>
  <si>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</si>
  <si>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</si>
  <si>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</si>
  <si>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</si>
  <si>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</si>
  <si>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</si>
  <si>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</si>
  <si>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</si>
  <si>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</si>
  <si>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</si>
  <si>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</si>
  <si>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</si>
  <si>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</si>
  <si>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</si>
  <si>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</si>
  <si>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</si>
  <si>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</si>
  <si>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</si>
  <si>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</si>
  <si>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</si>
  <si>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</si>
  <si>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</si>
  <si>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</si>
  <si>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</si>
  <si>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</si>
  <si>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</si>
  <si>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</si>
  <si>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</si>
  <si>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</si>
  <si>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</si>
  <si>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</si>
  <si>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</si>
  <si>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</si>
  <si>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</si>
  <si>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</si>
  <si>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</si>
  <si>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</si>
  <si>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</si>
  <si>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</si>
  <si>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</si>
  <si>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</si>
  <si>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</si>
  <si>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</si>
  <si>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</si>
  <si>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</si>
  <si>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</si>
  <si>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</si>
  <si>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</si>
  <si>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</si>
  <si>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</si>
  <si>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</si>
  <si>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</si>
  <si>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</si>
  <si>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</si>
  <si>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</si>
  <si>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</si>
  <si>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</si>
  <si>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</si>
  <si>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</si>
  <si>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</si>
  <si>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</si>
  <si>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</si>
  <si>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</si>
  <si>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</si>
  <si>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</si>
  <si>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</si>
  <si>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</si>
  <si>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</si>
  <si>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</si>
  <si>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</si>
  <si>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</si>
  <si>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</si>
  <si>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</si>
  <si>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</si>
  <si>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</si>
  <si>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</si>
  <si>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</si>
  <si>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</si>
  <si>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</si>
  <si>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</si>
  <si>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</si>
  <si>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</si>
  <si>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</si>
  <si>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</si>
  <si>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</si>
  <si>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</si>
  <si>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</si>
  <si>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</si>
  <si>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</si>
  <si>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</si>
  <si>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</si>
  <si>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</si>
  <si>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</si>
  <si>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</si>
  <si>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</si>
  <si>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</si>
  <si>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</si>
  <si>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</si>
  <si>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</si>
  <si>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</si>
  <si>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</si>
  <si>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</si>
  <si>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</si>
  <si>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</si>
  <si>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</si>
  <si>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</si>
  <si>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</si>
  <si>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</si>
  <si>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</si>
  <si>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</si>
  <si>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</si>
  <si>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</si>
  <si>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</si>
  <si>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</si>
  <si>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</si>
  <si>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</si>
  <si>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</si>
  <si>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</si>
  <si>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</si>
  <si>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</si>
  <si>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</si>
  <si>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</si>
  <si>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</si>
  <si>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</si>
  <si>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</si>
  <si>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</si>
  <si>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</si>
  <si>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</si>
  <si>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</si>
  <si>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</si>
  <si>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</si>
  <si>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</si>
  <si>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</si>
  <si>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</si>
  <si>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</si>
  <si>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</si>
  <si>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</si>
  <si>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</si>
  <si>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</si>
  <si>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</si>
  <si>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</si>
  <si>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</si>
  <si>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</si>
  <si>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</si>
  <si>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</si>
  <si>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</si>
  <si>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</si>
  <si>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</si>
  <si>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</si>
  <si>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</si>
  <si>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</si>
  <si>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</si>
  <si>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</si>
  <si>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</si>
  <si>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</si>
  <si>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</si>
  <si>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</si>
  <si>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</si>
  <si>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</si>
  <si>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</si>
  <si>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</si>
  <si>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</si>
  <si>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</si>
  <si>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</si>
  <si>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</si>
  <si>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</si>
  <si>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</si>
  <si>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</si>
  <si>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</si>
  <si>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</si>
  <si>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</si>
  <si>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</si>
  <si>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</si>
  <si>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</si>
  <si>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</si>
  <si>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</si>
  <si>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</si>
  <si>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</si>
  <si>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</si>
  <si>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</si>
  <si>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</si>
  <si>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</si>
  <si>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</si>
  <si>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</si>
  <si>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</si>
  <si>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</si>
  <si>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</si>
  <si>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</si>
  <si>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</si>
  <si>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</si>
  <si>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</si>
  <si>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</si>
  <si>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</si>
  <si>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</si>
  <si>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</si>
  <si>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</si>
  <si>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</si>
  <si>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</si>
  <si>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</si>
  <si>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</si>
  <si>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</si>
  <si>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</si>
  <si>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</si>
  <si>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</si>
  <si>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</si>
  <si>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</si>
  <si>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</si>
  <si>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</si>
  <si>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</si>
  <si>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</si>
  <si>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</si>
  <si>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</si>
  <si>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</si>
  <si>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</si>
  <si>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</si>
  <si>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</si>
  <si>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</si>
  <si>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</si>
  <si>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</si>
  <si>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</si>
  <si>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</si>
  <si>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</si>
  <si>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</si>
  <si>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</si>
  <si>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</si>
  <si>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</si>
  <si>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</si>
  <si>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</si>
  <si>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</si>
  <si>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</si>
  <si>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</si>
  <si>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</si>
  <si>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</si>
  <si>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</si>
  <si>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</si>
  <si>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</si>
  <si>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</si>
  <si>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</si>
  <si>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</si>
  <si>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</si>
  <si>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</si>
  <si>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</si>
  <si>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</si>
  <si>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</si>
  <si>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</si>
  <si>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</si>
  <si>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</si>
  <si>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</si>
  <si>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</si>
  <si>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</si>
  <si>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</si>
  <si>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</si>
  <si>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</si>
  <si>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</si>
  <si>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</si>
  <si>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</si>
  <si>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</si>
  <si>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</si>
  <si>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</si>
  <si>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</si>
  <si>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</si>
  <si>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</si>
  <si>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</si>
  <si>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</si>
  <si>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</si>
  <si>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</si>
  <si>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</si>
  <si>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</si>
  <si>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</si>
  <si>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</si>
  <si>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</si>
  <si>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</si>
  <si>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</si>
  <si>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</si>
  <si>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</si>
  <si>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</si>
  <si>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</si>
  <si>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</si>
  <si>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</si>
  <si>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</si>
  <si>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</si>
  <si>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</si>
  <si>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</si>
  <si>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</si>
  <si>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</si>
  <si>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</si>
  <si>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</si>
  <si>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</si>
  <si>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</si>
  <si>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</si>
  <si>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</si>
  <si>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</si>
  <si>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</si>
  <si>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</si>
  <si>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</si>
  <si>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</si>
  <si>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</si>
  <si>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</si>
  <si>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</si>
  <si>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</si>
  <si>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</si>
  <si>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</si>
  <si>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</si>
  <si>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</si>
  <si>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</si>
  <si>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</si>
  <si>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</si>
  <si>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</si>
  <si>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</si>
  <si>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</si>
  <si>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</si>
  <si>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</si>
  <si>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</si>
  <si>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</si>
  <si>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</si>
  <si>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</si>
  <si>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</si>
  <si>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</si>
  <si>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</si>
  <si>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</si>
  <si>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</si>
  <si>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</si>
  <si>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</si>
  <si>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</si>
  <si>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</si>
  <si>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</si>
  <si>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</si>
  <si>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</si>
  <si>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</si>
  <si>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</si>
  <si>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</si>
  <si>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</si>
  <si>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</si>
  <si>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</si>
  <si>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</si>
  <si>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</si>
  <si>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</si>
  <si>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</si>
  <si>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</si>
  <si>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</si>
  <si>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</si>
  <si>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</si>
  <si>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</si>
  <si>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</si>
  <si>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</si>
  <si>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</si>
  <si>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</si>
  <si>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</si>
  <si>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</si>
  <si>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</si>
  <si>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</si>
  <si>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</si>
  <si>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</si>
  <si>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</si>
  <si>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</si>
  <si>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</si>
  <si>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</si>
  <si>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</si>
  <si>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</si>
  <si>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</si>
  <si>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</si>
  <si>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</si>
  <si>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</si>
  <si>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</si>
  <si>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</si>
  <si>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</si>
  <si>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</si>
  <si>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</si>
  <si>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</si>
  <si>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</si>
  <si>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</si>
  <si>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</si>
  <si>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</si>
  <si>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</si>
  <si>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</si>
  <si>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</si>
  <si>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</si>
  <si>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</si>
  <si>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</si>
  <si>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</si>
  <si>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</si>
  <si>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</si>
  <si>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</si>
  <si>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</si>
  <si>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</si>
  <si>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</si>
  <si>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</si>
  <si>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</si>
  <si>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</si>
  <si>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</si>
  <si>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</si>
  <si>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</si>
  <si>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</si>
  <si>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</si>
  <si>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</si>
  <si>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</si>
  <si>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</si>
  <si>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</si>
  <si>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</si>
  <si>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</si>
  <si>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</si>
  <si>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</si>
  <si>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</si>
  <si>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</si>
  <si>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</si>
  <si>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</si>
  <si>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</si>
  <si>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</si>
  <si>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</si>
  <si>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</si>
  <si>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</si>
  <si>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</si>
  <si>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</si>
  <si>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</si>
  <si>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</si>
  <si>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</si>
  <si>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</si>
  <si>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</si>
  <si>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</si>
  <si>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</si>
  <si>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</si>
  <si>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</si>
  <si>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</si>
  <si>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</si>
  <si>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</si>
  <si>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</si>
  <si>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</si>
  <si>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</si>
  <si>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</si>
  <si>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</si>
  <si>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</si>
  <si>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</si>
  <si>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</si>
  <si>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</si>
  <si>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</si>
  <si>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</si>
  <si>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</si>
  <si>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</si>
  <si>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</si>
  <si>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</si>
  <si>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</si>
  <si>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</si>
  <si>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</si>
  <si>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</si>
  <si>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</si>
  <si>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</si>
  <si>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</si>
  <si>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</si>
  <si>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</si>
  <si>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</si>
  <si>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</si>
  <si>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</si>
  <si>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</si>
  <si>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</si>
  <si>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</si>
  <si>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</si>
  <si>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</si>
  <si>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</si>
  <si>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</si>
  <si>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</si>
  <si>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</si>
  <si>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</si>
  <si>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</si>
  <si>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</si>
  <si>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</si>
  <si>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</si>
  <si>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</si>
  <si>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</si>
  <si>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</si>
  <si>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</si>
  <si>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</si>
  <si>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</si>
  <si>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</si>
  <si>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</si>
  <si>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</si>
  <si>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</si>
  <si>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</si>
  <si>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</si>
  <si>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</si>
  <si>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</si>
  <si>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</si>
  <si>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</si>
  <si>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</si>
  <si>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</si>
  <si>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</si>
  <si>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</si>
  <si>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</si>
  <si>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</si>
  <si>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</si>
  <si>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</si>
  <si>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</si>
  <si>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</si>
  <si>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</si>
  <si>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</si>
  <si>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</si>
  <si>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</si>
  <si>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</si>
  <si>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</si>
  <si>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</si>
  <si>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</si>
  <si>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</si>
  <si>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</si>
  <si>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</si>
  <si>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</si>
  <si>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</si>
  <si>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</si>
  <si>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</si>
  <si>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</si>
  <si>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</si>
  <si>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</si>
  <si>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</si>
  <si>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</si>
  <si>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</si>
  <si>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</si>
  <si>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</si>
  <si>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</si>
  <si>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</si>
  <si>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</si>
  <si>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</si>
  <si>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</si>
  <si>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</si>
  <si>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</si>
  <si>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</si>
  <si>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</si>
  <si>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</si>
  <si>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</si>
  <si>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</si>
  <si>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</si>
  <si>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</si>
  <si>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</si>
  <si>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</si>
  <si>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</si>
  <si>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</si>
  <si>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</si>
  <si>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</si>
  <si>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</si>
  <si>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</si>
  <si>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</si>
  <si>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</si>
  <si>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</si>
  <si>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</si>
  <si>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</si>
  <si>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</si>
  <si>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</si>
  <si>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</si>
  <si>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</si>
  <si>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</si>
  <si>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</si>
  <si>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</si>
  <si>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</si>
  <si>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</si>
  <si>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</si>
  <si>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</si>
  <si>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</si>
  <si>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</si>
  <si>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</si>
  <si>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</si>
  <si>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</si>
  <si>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</si>
  <si>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</si>
  <si>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</si>
  <si>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</si>
  <si>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</si>
  <si>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</si>
  <si>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</si>
  <si>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</si>
  <si>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</si>
  <si>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</si>
  <si>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</si>
  <si>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</si>
  <si>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</si>
  <si>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</si>
  <si>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</si>
  <si>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</si>
  <si>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</si>
  <si>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</si>
  <si>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</si>
  <si>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</si>
  <si>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</si>
  <si>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</si>
  <si>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</si>
  <si>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</si>
  <si>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</si>
  <si>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</si>
  <si>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</si>
  <si>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</si>
  <si>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</si>
  <si>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</si>
  <si>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</si>
  <si>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</si>
  <si>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</si>
  <si>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</si>
  <si>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</si>
  <si>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</si>
  <si>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</si>
  <si>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</si>
  <si>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</si>
  <si>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</si>
  <si>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</si>
  <si>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</si>
  <si>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</si>
  <si>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</si>
  <si>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</si>
  <si>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</si>
  <si>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</si>
  <si>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</si>
  <si>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</si>
  <si>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</si>
  <si>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</si>
  <si>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</si>
  <si>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</si>
  <si>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</si>
  <si>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</si>
  <si>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</si>
  <si>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</si>
  <si>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</si>
  <si>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</si>
  <si>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</si>
  <si>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</si>
  <si>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</si>
  <si>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</si>
  <si>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</si>
  <si>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</si>
  <si>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</si>
  <si>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</si>
  <si>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</si>
  <si>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</si>
  <si>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</si>
  <si>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</si>
  <si>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</si>
  <si>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</si>
  <si>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</si>
  <si>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</si>
  <si>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</si>
  <si>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</si>
  <si>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</si>
  <si>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</si>
  <si>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</si>
  <si>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</si>
  <si>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</si>
  <si>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</si>
  <si>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</si>
  <si>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</si>
  <si>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</si>
  <si>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</si>
  <si>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</si>
  <si>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</si>
  <si>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</si>
  <si>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</si>
  <si>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</si>
  <si>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</si>
  <si>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</si>
  <si>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</si>
  <si>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</si>
  <si>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</si>
  <si>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</si>
  <si>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</si>
  <si>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</si>
  <si>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</si>
  <si>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</si>
  <si>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</si>
  <si>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</si>
  <si>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</si>
  <si>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</si>
  <si>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</si>
  <si>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</si>
  <si>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</si>
  <si>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</si>
  <si>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</si>
  <si>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</si>
  <si>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</si>
  <si>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</si>
  <si>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</si>
  <si>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</si>
  <si>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</si>
  <si>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</si>
  <si>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</si>
  <si>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</si>
  <si>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</si>
  <si>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</si>
  <si>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</si>
  <si>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</si>
  <si>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</si>
  <si>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</si>
  <si>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</si>
  <si>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</si>
  <si>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</si>
  <si>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</si>
  <si>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</si>
  <si>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</si>
  <si>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</si>
  <si>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</si>
  <si>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</si>
  <si>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</si>
  <si>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</si>
  <si>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</si>
  <si>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</si>
  <si>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</si>
  <si>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</si>
  <si>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</si>
  <si>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</si>
  <si>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</si>
  <si>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</si>
  <si>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</si>
  <si>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</si>
  <si>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</si>
  <si>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</si>
  <si>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</si>
  <si>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</si>
  <si>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</si>
  <si>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</si>
  <si>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</si>
  <si>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</si>
  <si>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</si>
  <si>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</si>
  <si>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</si>
  <si>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</si>
  <si>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</si>
  <si>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</si>
  <si>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</si>
  <si>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</si>
  <si>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</si>
  <si>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</si>
  <si>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</si>
  <si>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</si>
  <si>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</si>
  <si>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</si>
  <si>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</si>
  <si>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</si>
  <si>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</si>
  <si>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</si>
  <si>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</si>
  <si>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</si>
  <si>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</si>
  <si>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</si>
  <si>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</si>
  <si>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</si>
  <si>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</si>
  <si>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</si>
  <si>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</si>
  <si>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</si>
  <si>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</si>
  <si>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</si>
  <si>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</si>
  <si>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</si>
  <si>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</si>
  <si>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</si>
  <si>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</si>
  <si>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</si>
  <si>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</si>
  <si>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</si>
  <si>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</si>
  <si>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</si>
  <si>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</si>
  <si>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</si>
  <si>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</si>
  <si>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</si>
  <si>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</si>
  <si>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</si>
  <si>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</si>
  <si>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</si>
  <si>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</si>
  <si>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</si>
  <si>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</si>
  <si>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</si>
  <si>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</si>
  <si>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</si>
  <si>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</si>
  <si>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</si>
  <si>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</si>
  <si>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</si>
  <si>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</si>
  <si>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</si>
  <si>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</si>
  <si>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</si>
  <si>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</si>
  <si>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</si>
  <si>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</si>
  <si>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</si>
  <si>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</si>
  <si>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</si>
  <si>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</si>
  <si>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</si>
  <si>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</si>
  <si>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</si>
  <si>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</si>
  <si>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</si>
  <si>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</si>
  <si>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</si>
  <si>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</si>
  <si>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</si>
  <si>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</si>
  <si>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</si>
  <si>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</si>
  <si>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</si>
  <si>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</si>
  <si>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</si>
  <si>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</si>
  <si>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</si>
  <si>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</si>
  <si>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</si>
  <si>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</si>
  <si>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</si>
  <si>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</si>
  <si>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</si>
  <si>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</si>
  <si>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</si>
  <si>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</si>
  <si>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</si>
  <si>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</si>
  <si>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</si>
  <si>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</si>
  <si>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</si>
  <si>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</si>
  <si>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</si>
  <si>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</si>
  <si>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</si>
  <si>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</si>
  <si>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</si>
  <si>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</si>
  <si>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</si>
  <si>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</si>
  <si>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</si>
  <si>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</si>
  <si>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</si>
  <si>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</si>
  <si>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</si>
  <si>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</si>
  <si>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</si>
  <si>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</si>
  <si>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</si>
  <si>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</si>
  <si>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</si>
  <si>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</si>
  <si>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</si>
  <si>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</si>
  <si>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</si>
  <si>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</si>
  <si>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</si>
  <si>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</si>
  <si>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</si>
  <si>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</si>
  <si>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</si>
  <si>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</si>
  <si>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</si>
  <si>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</si>
  <si>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</si>
  <si>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</si>
  <si>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</si>
  <si>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</si>
  <si>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</si>
  <si>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</si>
  <si>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</si>
  <si>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</si>
  <si>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</si>
  <si>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</si>
  <si>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</si>
  <si>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</si>
  <si>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</si>
  <si>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</si>
  <si>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</si>
  <si>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</si>
  <si>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</si>
  <si>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</si>
  <si>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</si>
  <si>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</si>
  <si>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</si>
  <si>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</si>
  <si>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</si>
  <si>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</si>
  <si>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</si>
  <si>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</si>
  <si>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</si>
  <si>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</si>
  <si>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</si>
  <si>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</si>
  <si>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</si>
  <si>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</si>
  <si>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</si>
  <si>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</si>
  <si>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</si>
  <si>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</si>
  <si>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</si>
  <si>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</si>
  <si>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</si>
  <si>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</si>
  <si>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</si>
  <si>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</si>
  <si>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</si>
  <si>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</si>
  <si>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</si>
  <si>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</si>
  <si>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</si>
  <si>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</si>
  <si>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</si>
  <si>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</si>
  <si>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</si>
  <si>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</si>
  <si>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</si>
  <si>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</si>
  <si>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</si>
  <si>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</si>
  <si>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</si>
  <si>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</si>
  <si>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</si>
  <si>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</si>
  <si>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</si>
  <si>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</si>
  <si>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</si>
  <si>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</si>
  <si>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</si>
  <si>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</si>
  <si>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</si>
  <si>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</si>
  <si>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</si>
  <si>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</si>
  <si>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</si>
  <si>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</si>
  <si>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</si>
  <si>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</si>
  <si>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</si>
  <si>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</si>
  <si>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</si>
  <si>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</si>
  <si>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</si>
  <si>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</si>
  <si>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</si>
  <si>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</si>
  <si>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</si>
  <si>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</si>
  <si>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</si>
  <si>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</si>
  <si>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</si>
  <si>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</si>
  <si>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</si>
  <si>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</si>
  <si>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</si>
  <si>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</si>
  <si>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</si>
  <si>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</si>
  <si>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</si>
  <si>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</si>
  <si>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</si>
  <si>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</si>
  <si>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</si>
  <si>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</si>
  <si>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</si>
  <si>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</si>
  <si>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</si>
  <si>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</si>
  <si>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</si>
  <si>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</si>
  <si>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</si>
  <si>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</si>
  <si>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</si>
  <si>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</si>
  <si>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</si>
  <si>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</si>
  <si>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</si>
  <si>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</si>
  <si>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</si>
  <si>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</si>
  <si>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</si>
  <si>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</si>
  <si>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</si>
  <si>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</si>
  <si>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</si>
  <si>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</si>
  <si>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</si>
  <si>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</si>
  <si>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</si>
  <si>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</si>
  <si>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</si>
  <si>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</si>
  <si>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</si>
  <si>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</si>
  <si>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</si>
  <si>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</si>
  <si>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</si>
  <si>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</si>
  <si>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</si>
  <si>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</si>
  <si>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</si>
  <si>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</si>
  <si>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</si>
  <si>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</si>
  <si>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</si>
  <si>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</si>
  <si>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</si>
  <si>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</si>
  <si>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</si>
  <si>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</si>
  <si>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</si>
  <si>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</si>
  <si>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</si>
  <si>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</si>
  <si>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</si>
  <si>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</si>
  <si>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</si>
  <si>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</si>
  <si>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</si>
  <si>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</si>
  <si>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</si>
  <si>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</si>
  <si>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</si>
  <si>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</si>
  <si>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</si>
  <si>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</si>
  <si>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</si>
  <si>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</si>
  <si>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</si>
  <si>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</si>
  <si>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</si>
  <si>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</si>
  <si>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</si>
  <si>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</si>
  <si>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</si>
  <si>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</si>
  <si>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</si>
  <si>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</si>
  <si>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</si>
  <si>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</si>
  <si>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</si>
  <si>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</si>
  <si>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</si>
  <si>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</si>
  <si>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</si>
  <si>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</si>
  <si>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</si>
  <si>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</si>
  <si>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</si>
  <si>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</si>
  <si>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</si>
  <si>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</si>
  <si>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</si>
  <si>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</si>
  <si>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</si>
  <si>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</si>
  <si>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</si>
  <si>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</si>
  <si>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</si>
  <si>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</si>
  <si>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</si>
  <si>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</si>
  <si>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</si>
  <si>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</si>
  <si>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</si>
  <si>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</si>
  <si>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</si>
  <si>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</si>
  <si>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</si>
  <si>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</si>
  <si>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</si>
  <si>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</si>
  <si>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</si>
  <si>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</si>
  <si>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</si>
  <si>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</si>
  <si>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</si>
  <si>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</si>
  <si>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</si>
  <si>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</si>
  <si>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</si>
  <si>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</si>
  <si>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</si>
  <si>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</si>
  <si>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</si>
  <si>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</si>
  <si>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</si>
  <si>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</si>
  <si>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</si>
  <si>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</si>
  <si>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</si>
  <si>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</si>
  <si>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</si>
  <si>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</si>
  <si>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</si>
  <si>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</si>
  <si>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</si>
  <si>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</si>
  <si>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</si>
  <si>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</si>
  <si>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</si>
  <si>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</si>
  <si>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</si>
  <si>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</si>
  <si>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</si>
  <si>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</si>
  <si>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</si>
  <si>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</si>
  <si>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</si>
  <si>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</si>
  <si>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</si>
  <si>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</si>
  <si>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</si>
  <si>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</si>
  <si>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</si>
  <si>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</si>
  <si>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</si>
  <si>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</si>
  <si>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</si>
  <si>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</si>
  <si>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</si>
  <si>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</si>
  <si>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</si>
  <si>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</si>
  <si>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</si>
  <si>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</si>
  <si>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</si>
  <si>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</si>
  <si>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</si>
  <si>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</si>
  <si>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</si>
  <si>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</si>
  <si>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</si>
  <si>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</si>
  <si>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</si>
  <si>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</si>
  <si>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</si>
  <si>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</si>
  <si>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</si>
  <si>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</si>
  <si>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</si>
  <si>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</si>
  <si>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</si>
  <si>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</si>
  <si>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</si>
  <si>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</si>
  <si>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</si>
  <si>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</si>
  <si>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</si>
  <si>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</si>
  <si>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</si>
  <si>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</si>
  <si>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</si>
  <si>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</si>
  <si>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</si>
  <si>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</si>
  <si>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</si>
  <si>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</si>
  <si>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</si>
  <si>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</si>
  <si>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</si>
  <si>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</si>
  <si>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</si>
  <si>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</si>
  <si>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</si>
  <si>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</si>
  <si>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</si>
  <si>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</si>
  <si>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</si>
  <si>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</si>
  <si>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</si>
  <si>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</si>
  <si>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</si>
  <si>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</si>
  <si>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</si>
  <si>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</si>
  <si>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</si>
  <si>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</si>
  <si>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</si>
  <si>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</si>
  <si>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</si>
  <si>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</si>
  <si>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</si>
  <si>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</si>
  <si>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</si>
  <si>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</si>
  <si>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</si>
  <si>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</si>
  <si>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</si>
  <si>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</si>
  <si>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</si>
  <si>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</si>
  <si>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</si>
  <si>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</si>
  <si>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</si>
  <si>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</si>
  <si>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</si>
  <si>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</si>
  <si>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</si>
  <si>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</si>
  <si>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</si>
  <si>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</si>
  <si>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</si>
  <si>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</si>
  <si>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</si>
  <si>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</si>
  <si>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</si>
  <si>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</si>
  <si>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</si>
  <si>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</si>
  <si>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</si>
  <si>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</si>
  <si>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</si>
  <si>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</si>
  <si>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</si>
  <si>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</si>
  <si>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</si>
  <si>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</si>
  <si>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</si>
  <si>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</si>
  <si>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</si>
  <si>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</si>
  <si>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</si>
  <si>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</si>
  <si>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</si>
  <si>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</si>
  <si>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</si>
  <si>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</si>
  <si>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</si>
  <si>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</si>
  <si>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</si>
  <si>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</si>
  <si>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</si>
  <si>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</si>
  <si>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</si>
  <si>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</si>
  <si>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</si>
  <si>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</si>
  <si>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</si>
  <si>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</si>
  <si>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</si>
  <si>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</si>
  <si>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</si>
  <si>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</si>
  <si>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</si>
  <si>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</si>
  <si>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</si>
  <si>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</si>
  <si>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</si>
  <si>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</si>
  <si>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</si>
  <si>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</si>
  <si>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</si>
  <si>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</si>
  <si>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</si>
  <si>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</si>
  <si>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</si>
  <si>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</si>
  <si>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</si>
  <si>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</si>
  <si>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</si>
  <si>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</si>
  <si>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</si>
  <si>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</si>
  <si>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</si>
  <si>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</si>
  <si>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</si>
  <si>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</si>
  <si>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</si>
  <si>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</si>
  <si>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</si>
  <si>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</si>
  <si>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</si>
  <si>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</si>
  <si>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</si>
  <si>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</si>
  <si>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</si>
  <si>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</si>
  <si>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</si>
  <si>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</si>
  <si>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</si>
  <si>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</si>
  <si>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</si>
  <si>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</si>
  <si>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</si>
  <si>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</si>
  <si>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</si>
  <si>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</si>
  <si>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</si>
  <si>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</si>
  <si>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</si>
  <si>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</si>
  <si>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</si>
  <si>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</si>
  <si>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</si>
  <si>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</si>
  <si>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</si>
  <si>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</si>
  <si>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</si>
  <si>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</si>
  <si>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</si>
  <si>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</si>
  <si>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</si>
  <si>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</si>
  <si>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</si>
  <si>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</si>
  <si>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</si>
  <si>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</si>
  <si>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</si>
  <si>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</si>
  <si>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</si>
  <si>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</si>
  <si>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</si>
  <si>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</si>
  <si>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</si>
  <si>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</si>
  <si>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</si>
  <si>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</si>
  <si>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</si>
  <si>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</si>
  <si>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</si>
  <si>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</si>
  <si>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</si>
  <si>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</si>
  <si>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</si>
  <si>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</si>
  <si>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</si>
  <si>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</si>
  <si>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</si>
  <si>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</si>
  <si>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</si>
  <si>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</si>
  <si>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</si>
  <si>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</si>
  <si>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</si>
  <si>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</si>
  <si>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</si>
  <si>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</si>
  <si>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</si>
  <si>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</si>
  <si>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</si>
  <si>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</si>
  <si>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</si>
  <si>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</si>
  <si>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</si>
  <si>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</si>
  <si>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</si>
  <si>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</si>
  <si>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</si>
  <si>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</si>
  <si>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</si>
  <si>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</si>
  <si>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</si>
  <si>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</si>
  <si>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</si>
  <si>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</si>
  <si>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</si>
  <si>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</si>
  <si>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</si>
  <si>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</si>
  <si>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</si>
  <si>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</si>
  <si>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</si>
  <si>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</si>
  <si>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</si>
  <si>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</si>
  <si>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</si>
  <si>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</si>
  <si>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</si>
  <si>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</si>
  <si>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</si>
  <si>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</si>
  <si>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</si>
  <si>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</si>
  <si>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</si>
  <si>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</si>
  <si>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</si>
  <si>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</si>
  <si>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</si>
  <si>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</si>
  <si>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</si>
  <si>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</si>
  <si>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</si>
  <si>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</si>
  <si>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</si>
  <si>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</si>
  <si>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</si>
  <si>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</si>
  <si>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</si>
  <si>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</si>
  <si>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</si>
  <si>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</si>
  <si>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</si>
  <si>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</si>
  <si>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</si>
  <si>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</si>
  <si>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</si>
  <si>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</si>
  <si>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</si>
  <si>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</si>
  <si>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</si>
  <si>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</si>
  <si>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</si>
  <si>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</si>
  <si>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</si>
  <si>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</si>
  <si>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</si>
  <si>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</si>
  <si>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</si>
  <si>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</si>
  <si>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</si>
  <si>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</si>
  <si>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</si>
  <si>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</si>
  <si>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</si>
  <si>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</si>
  <si>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</si>
  <si>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</si>
  <si>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</si>
  <si>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</si>
  <si>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</si>
  <si>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</si>
  <si>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</si>
  <si>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</si>
  <si>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</si>
  <si>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</si>
  <si>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</si>
  <si>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</si>
  <si>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</si>
  <si>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</si>
  <si>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</si>
  <si>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</si>
  <si>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</si>
  <si>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</si>
  <si>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</si>
  <si>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</si>
  <si>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</si>
  <si>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</si>
  <si>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</si>
  <si>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</si>
  <si>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</si>
  <si>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</si>
  <si>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</si>
  <si>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</si>
  <si>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</si>
  <si>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</si>
  <si>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</si>
  <si>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</si>
  <si>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</si>
  <si>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</si>
  <si>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</si>
  <si>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</si>
  <si>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</si>
  <si>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</si>
  <si>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</si>
  <si>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</si>
  <si>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</si>
  <si>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</si>
  <si>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</si>
  <si>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</si>
  <si>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</si>
  <si>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</si>
  <si>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</si>
  <si>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</si>
  <si>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</si>
  <si>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</si>
  <si>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</si>
  <si>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</si>
  <si>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</si>
  <si>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</si>
  <si>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</si>
  <si>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</si>
  <si>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</si>
  <si>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</si>
  <si>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</si>
  <si>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</si>
  <si>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</si>
  <si>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</si>
  <si>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</si>
  <si>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</si>
  <si>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</si>
  <si>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</si>
  <si>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</si>
  <si>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</si>
  <si>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</si>
  <si>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</si>
  <si>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</si>
  <si>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</si>
  <si>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</si>
  <si>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</si>
  <si>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</si>
  <si>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</si>
  <si>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</si>
  <si>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</si>
  <si>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</si>
  <si>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</si>
  <si>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</si>
  <si>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</si>
  <si>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</si>
  <si>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</si>
  <si>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</si>
  <si>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</si>
  <si>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</si>
  <si>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</si>
  <si>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</si>
  <si>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</si>
  <si>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</si>
  <si>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</si>
  <si>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</si>
  <si>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</si>
  <si>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</si>
  <si>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</si>
  <si>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</si>
  <si>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</si>
  <si>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</si>
  <si>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</si>
  <si>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</si>
  <si>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</si>
  <si>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</si>
  <si>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</si>
  <si>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</si>
  <si>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</si>
  <si>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</si>
  <si>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</si>
  <si>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</si>
  <si>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</si>
  <si>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</si>
  <si>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</si>
  <si>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</si>
  <si>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</si>
  <si>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</si>
  <si>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</si>
  <si>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</si>
  <si>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</si>
  <si>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</si>
  <si>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</si>
  <si>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</si>
  <si>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</si>
  <si>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</si>
  <si>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</si>
  <si>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</si>
  <si>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</si>
  <si>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</si>
  <si>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</si>
  <si>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</si>
  <si>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</si>
  <si>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</si>
  <si>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</si>
  <si>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</si>
  <si>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</si>
  <si>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</si>
  <si>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</si>
  <si>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</si>
  <si>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</si>
  <si>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</si>
  <si>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</si>
  <si>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</si>
  <si>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</si>
  <si>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</si>
  <si>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</si>
  <si>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</si>
  <si>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</si>
  <si>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</si>
  <si>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</si>
  <si>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</si>
  <si>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</si>
  <si>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</si>
  <si>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</si>
  <si>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</si>
  <si>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</si>
  <si>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</si>
  <si>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</si>
  <si>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</si>
  <si>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</si>
  <si>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</si>
  <si>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</si>
  <si>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</si>
  <si>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</si>
  <si>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</si>
  <si>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</si>
  <si>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</si>
  <si>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</si>
  <si>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</si>
  <si>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</si>
  <si>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</si>
  <si>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</si>
  <si>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</si>
  <si>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</si>
  <si>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</si>
  <si>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</si>
  <si>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</si>
  <si>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</si>
  <si>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</si>
  <si>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</si>
  <si>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</si>
  <si>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</si>
  <si>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</si>
  <si>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</si>
  <si>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</si>
  <si>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</si>
  <si>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</si>
  <si>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</si>
  <si>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</si>
  <si>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</si>
  <si>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</si>
  <si>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</si>
  <si>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</si>
  <si>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</si>
  <si>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</si>
  <si>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</si>
  <si>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</si>
  <si>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</si>
  <si>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</si>
  <si>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</si>
  <si>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</si>
  <si>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</si>
  <si>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</si>
  <si>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</si>
  <si>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</si>
  <si>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</si>
  <si>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</si>
  <si>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</si>
  <si>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</si>
  <si>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</si>
  <si>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</si>
  <si>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</si>
  <si>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</si>
  <si>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</si>
  <si>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</si>
  <si>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</si>
  <si>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</si>
  <si>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</si>
  <si>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</si>
  <si>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</si>
  <si>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</si>
  <si>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</si>
  <si>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</si>
  <si>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</si>
  <si>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</si>
  <si>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</si>
  <si>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</si>
  <si>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</si>
  <si>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</si>
  <si>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</si>
  <si>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</si>
  <si>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</si>
  <si>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</si>
  <si>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</si>
  <si>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</si>
  <si>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</si>
  <si>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</si>
  <si>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</si>
  <si>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</si>
  <si>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</si>
  <si>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</si>
  <si>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</si>
  <si>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</si>
  <si>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</si>
  <si>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</si>
  <si>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</si>
  <si>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</si>
  <si>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</si>
  <si>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</si>
  <si>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</si>
  <si>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</si>
  <si>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</si>
  <si>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</si>
  <si>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</si>
  <si>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</si>
  <si>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</si>
  <si>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</si>
  <si>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</si>
  <si>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</si>
  <si>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</si>
  <si>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</si>
  <si>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</si>
  <si>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</si>
  <si>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</si>
  <si>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</si>
  <si>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</si>
  <si>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</si>
  <si>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</si>
  <si>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</si>
  <si>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</si>
  <si>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</si>
  <si>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</si>
  <si>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</si>
  <si>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</si>
  <si>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</si>
  <si>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</si>
  <si>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</si>
  <si>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</si>
  <si>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</si>
  <si>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</si>
  <si>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</si>
  <si>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</si>
  <si>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</si>
  <si>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</si>
  <si>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</si>
  <si>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</si>
  <si>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</si>
  <si>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</si>
  <si>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</si>
  <si>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</si>
  <si>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</si>
  <si>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</si>
  <si>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</si>
  <si>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</si>
  <si>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</si>
  <si>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</si>
  <si>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</si>
  <si>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</si>
  <si>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</si>
  <si>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</si>
  <si>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</si>
  <si>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</si>
  <si>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</si>
  <si>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</si>
  <si>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</si>
  <si>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</si>
  <si>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</si>
  <si>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</si>
  <si>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</si>
  <si>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</si>
  <si>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</si>
  <si>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</si>
  <si>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</si>
  <si>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</si>
  <si>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</si>
  <si>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</si>
  <si>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</si>
  <si>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</si>
  <si>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</si>
  <si>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</si>
  <si>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</si>
  <si>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</si>
  <si>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</si>
  <si>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</si>
  <si>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</si>
  <si>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</si>
  <si>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</si>
  <si>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</si>
  <si>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</si>
  <si>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</si>
  <si>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</si>
  <si>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</si>
  <si>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</si>
  <si>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</si>
  <si>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</si>
  <si>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</si>
  <si>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</si>
  <si>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</si>
  <si>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</si>
  <si>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</si>
  <si>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</si>
  <si>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</si>
  <si>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</si>
  <si>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</si>
  <si>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</si>
  <si>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</si>
  <si>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</si>
  <si>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</si>
  <si>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</si>
  <si>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</si>
  <si>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</si>
  <si>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</si>
  <si>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</si>
  <si>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</si>
  <si>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</si>
  <si>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</si>
  <si>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</si>
  <si>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</si>
  <si>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</si>
  <si>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</si>
  <si>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</si>
  <si>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</si>
  <si>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</si>
  <si>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</si>
  <si>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</si>
  <si>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</si>
  <si>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</si>
  <si>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</si>
  <si>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</si>
  <si>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</si>
  <si>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</si>
  <si>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</si>
  <si>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</si>
  <si>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</si>
  <si>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</si>
  <si>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</si>
  <si>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</si>
  <si>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</si>
  <si>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</si>
  <si>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</si>
  <si>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</si>
  <si>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</si>
  <si>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</si>
  <si>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</si>
  <si>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</si>
  <si>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</si>
  <si>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</si>
  <si>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</si>
  <si>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</si>
  <si>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</si>
  <si>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</si>
  <si>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</si>
  <si>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</si>
  <si>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</si>
  <si>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</si>
  <si>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</si>
  <si>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</si>
  <si>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</si>
  <si>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</si>
  <si>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</si>
  <si>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</si>
  <si>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</si>
  <si>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</si>
  <si>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</si>
  <si>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</si>
  <si>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</si>
  <si>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</si>
  <si>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</si>
  <si>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</si>
  <si>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</si>
  <si>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</si>
  <si>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</si>
  <si>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</si>
  <si>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</si>
  <si>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</si>
  <si>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</si>
  <si>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</si>
  <si>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</si>
  <si>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</si>
  <si>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</si>
  <si>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</si>
  <si>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</si>
  <si>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</si>
  <si>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</si>
  <si>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</si>
  <si>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</si>
  <si>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</si>
  <si>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</si>
  <si>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</si>
  <si>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</si>
  <si>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</si>
  <si>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</si>
  <si>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</si>
  <si>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</si>
  <si>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</si>
  <si>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</si>
  <si>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</si>
  <si>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</si>
  <si>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</si>
  <si>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</si>
  <si>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</si>
  <si>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</si>
  <si>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</si>
  <si>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</si>
  <si>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</si>
  <si>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</si>
  <si>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</si>
  <si>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</si>
  <si>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</si>
  <si>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</si>
  <si>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</si>
  <si>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</si>
  <si>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</si>
  <si>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</si>
  <si>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</si>
  <si>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</si>
  <si>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</si>
  <si>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</si>
  <si>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</si>
  <si>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</si>
  <si>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</si>
  <si>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</si>
  <si>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</si>
  <si>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</si>
  <si>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</si>
  <si>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</si>
  <si>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</si>
  <si>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</si>
  <si>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</si>
  <si>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</si>
  <si>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</si>
  <si>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</si>
  <si>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</si>
  <si>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</si>
  <si>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</si>
  <si>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</si>
  <si>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</si>
  <si>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</si>
  <si>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</si>
  <si>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</si>
  <si>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</si>
  <si>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</si>
  <si>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</si>
  <si>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</si>
  <si>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</si>
  <si>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</si>
  <si>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</si>
  <si>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</si>
  <si>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</si>
  <si>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</si>
  <si>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</si>
  <si>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</si>
  <si>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</si>
  <si>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</si>
  <si>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</si>
  <si>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</si>
  <si>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</si>
  <si>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</si>
  <si>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</si>
  <si>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</si>
  <si>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</si>
  <si>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</si>
  <si>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</si>
  <si>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</si>
  <si>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</si>
  <si>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</si>
  <si>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</si>
  <si>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</si>
  <si>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</si>
  <si>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</si>
  <si>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</si>
  <si>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</si>
  <si>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</si>
  <si>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</si>
  <si>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</si>
  <si>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</si>
  <si>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</si>
  <si>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</si>
  <si>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</si>
  <si>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</si>
  <si>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</si>
  <si>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</si>
  <si>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</si>
  <si>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</si>
  <si>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</si>
  <si>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</si>
  <si>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</si>
  <si>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</si>
  <si>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</si>
  <si>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</si>
  <si>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</si>
  <si>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</si>
  <si>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</si>
  <si>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</si>
  <si>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</si>
  <si>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</si>
  <si>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</si>
  <si>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</si>
  <si>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</si>
  <si>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</si>
  <si>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</si>
  <si>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</si>
  <si>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</si>
  <si>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</si>
  <si>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</si>
  <si>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</si>
  <si>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</si>
  <si>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</si>
  <si>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</si>
  <si>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</si>
  <si>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</si>
  <si>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</si>
  <si>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</si>
  <si>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</si>
  <si>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</si>
  <si>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</si>
  <si>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</si>
  <si>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</si>
  <si>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</si>
  <si>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</si>
  <si>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</si>
  <si>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</si>
  <si>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</si>
  <si>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</si>
  <si>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</si>
  <si>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</si>
  <si>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</si>
  <si>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</si>
  <si>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</si>
  <si>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</si>
  <si>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</si>
  <si>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</si>
  <si>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</si>
  <si>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</si>
  <si>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</si>
  <si>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</si>
  <si>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</si>
  <si>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</si>
  <si>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</si>
  <si>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</si>
  <si>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</si>
  <si>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</si>
  <si>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</si>
  <si>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</si>
  <si>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</si>
  <si>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</si>
  <si>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</si>
  <si>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</si>
  <si>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</si>
  <si>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</si>
  <si>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</si>
  <si>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</si>
  <si>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</si>
  <si>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</si>
  <si>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</si>
  <si>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</si>
  <si>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</si>
  <si>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</si>
  <si>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</si>
  <si>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</si>
  <si>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</si>
  <si>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</si>
  <si>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</si>
  <si>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</si>
  <si>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</si>
  <si>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</si>
  <si>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</si>
  <si>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</si>
  <si>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</si>
  <si>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</si>
  <si>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</si>
  <si>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</si>
  <si>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</si>
  <si>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</si>
  <si>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</si>
  <si>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</si>
  <si>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</si>
  <si>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</si>
  <si>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</si>
  <si>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</si>
  <si>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</si>
  <si>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</si>
  <si>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</si>
  <si>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</si>
  <si>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</si>
  <si>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</si>
  <si>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</si>
  <si>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</si>
  <si>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</si>
  <si>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</si>
  <si>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</si>
  <si>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</si>
  <si>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</si>
  <si>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</si>
  <si>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</si>
  <si>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</si>
  <si>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</si>
  <si>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</si>
  <si>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</si>
  <si>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</si>
  <si>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</si>
  <si>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</si>
  <si>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</si>
  <si>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</si>
  <si>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</si>
  <si>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</si>
  <si>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</si>
  <si>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</si>
  <si>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</si>
  <si>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</si>
  <si>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</si>
  <si>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</si>
  <si>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</si>
  <si>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</si>
  <si>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</si>
  <si>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</si>
  <si>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</si>
  <si>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</si>
  <si>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</si>
  <si>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</si>
  <si>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</si>
  <si>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</si>
  <si>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</si>
  <si>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</si>
  <si>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</si>
  <si>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</si>
  <si>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</si>
  <si>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</si>
  <si>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</si>
  <si>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</si>
  <si>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</si>
  <si>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</si>
  <si>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</si>
  <si>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</si>
  <si>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</si>
  <si>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</si>
  <si>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</si>
  <si>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</si>
  <si>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</si>
  <si>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</si>
  <si>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</si>
  <si>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</si>
  <si>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</si>
  <si>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</si>
  <si>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</si>
  <si>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</si>
  <si>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</si>
  <si>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</si>
  <si>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</si>
  <si>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</si>
  <si>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</si>
  <si>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</si>
  <si>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</si>
  <si>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</si>
  <si>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</si>
  <si>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</si>
  <si>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</si>
  <si>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</si>
  <si>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</si>
  <si>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</si>
  <si>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</si>
  <si>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</si>
  <si>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</si>
  <si>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</si>
  <si>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</si>
  <si>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</si>
  <si>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</si>
  <si>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</si>
  <si>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</si>
  <si>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</si>
  <si>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</si>
  <si>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</si>
  <si>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</si>
  <si>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</si>
  <si>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</si>
  <si>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</si>
  <si>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</si>
  <si>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</si>
  <si>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</si>
  <si>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</si>
  <si>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</si>
  <si>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</si>
  <si>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</si>
  <si>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</si>
  <si>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</si>
  <si>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</si>
  <si>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</si>
  <si>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</si>
  <si>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</si>
  <si>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</si>
  <si>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</si>
  <si>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</si>
  <si>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</si>
  <si>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</si>
  <si>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</si>
  <si>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</si>
  <si>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</si>
  <si>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</si>
  <si>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</si>
  <si>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</si>
  <si>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</si>
  <si>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</si>
  <si>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</si>
  <si>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</si>
  <si>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</si>
  <si>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</si>
  <si>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</si>
  <si>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</si>
  <si>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</si>
  <si>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</si>
  <si>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</si>
  <si>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</si>
  <si>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</si>
  <si>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</si>
  <si>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</si>
  <si>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</si>
  <si>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</si>
  <si>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</si>
  <si>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</si>
  <si>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</si>
  <si>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</si>
  <si>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</si>
  <si>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</si>
  <si>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</si>
  <si>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</si>
  <si>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</si>
  <si>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</si>
  <si>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</si>
  <si>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</si>
  <si>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</si>
  <si>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</si>
  <si>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</si>
  <si>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</si>
  <si>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</si>
  <si>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</si>
  <si>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</si>
  <si>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</si>
  <si>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</si>
  <si>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</si>
  <si>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</si>
  <si>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</si>
  <si>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</si>
  <si>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</si>
  <si>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</si>
  <si>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</si>
  <si>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</si>
  <si>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</si>
  <si>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</si>
  <si>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</si>
  <si>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</si>
  <si>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</si>
  <si>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</si>
  <si>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</si>
  <si>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</si>
  <si>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</si>
  <si>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</si>
  <si>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</si>
  <si>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</si>
  <si>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</si>
  <si>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</si>
  <si>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</si>
  <si>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</si>
  <si>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</si>
  <si>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</si>
  <si>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</si>
  <si>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</si>
  <si>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</si>
  <si>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</si>
  <si>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</si>
  <si>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</si>
  <si>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</si>
  <si>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</si>
  <si>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</si>
  <si>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</si>
  <si>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</si>
  <si>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</si>
  <si>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</si>
  <si>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</si>
  <si>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</si>
  <si>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</si>
  <si>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</si>
  <si>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</si>
  <si>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</si>
  <si>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</si>
  <si>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</si>
  <si>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</si>
  <si>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</si>
  <si>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</si>
  <si>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</si>
  <si>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</si>
  <si>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</si>
  <si>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</si>
  <si>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</si>
  <si>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</si>
  <si>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</si>
  <si>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</si>
  <si>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</si>
  <si>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</si>
  <si>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</si>
  <si>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</si>
  <si>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</si>
  <si>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</si>
  <si>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</si>
  <si>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</si>
  <si>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</si>
  <si>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</si>
  <si>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</si>
  <si>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</si>
  <si>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</si>
  <si>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</si>
  <si>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</si>
  <si>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</si>
  <si>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</si>
  <si>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</si>
  <si>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</si>
  <si>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</si>
  <si>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</si>
  <si>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</si>
  <si>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</si>
  <si>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</si>
  <si>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</si>
  <si>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</si>
  <si>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</si>
  <si>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</si>
  <si>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</si>
  <si>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</si>
  <si>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</si>
  <si>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</si>
  <si>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</si>
  <si>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</si>
  <si>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</si>
  <si>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</si>
  <si>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</si>
  <si>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</si>
  <si>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</si>
  <si>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</si>
  <si>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</si>
  <si>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</si>
  <si>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</si>
  <si>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</si>
  <si>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</si>
  <si>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</si>
  <si>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</si>
  <si>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</si>
  <si>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</si>
  <si>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</si>
  <si>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</si>
  <si>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</si>
  <si>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</si>
  <si>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</si>
  <si>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</si>
  <si>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</si>
  <si>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</si>
  <si>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</si>
  <si>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</si>
  <si>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</si>
  <si>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</si>
  <si>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</si>
  <si>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</si>
  <si>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</si>
  <si>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</si>
  <si>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</si>
  <si>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</si>
  <si>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</si>
  <si>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</si>
  <si>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</si>
  <si>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</si>
  <si>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</si>
  <si>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</si>
  <si>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</si>
  <si>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</si>
  <si>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</si>
  <si>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</si>
  <si>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</si>
  <si>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</si>
  <si>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</si>
  <si>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</si>
  <si>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</si>
  <si>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</si>
  <si>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</si>
  <si>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</si>
  <si>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</si>
  <si>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</si>
  <si>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</si>
  <si>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</si>
  <si>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</si>
  <si>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</si>
  <si>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</si>
  <si>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</si>
  <si>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</si>
  <si>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</si>
  <si>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</si>
  <si>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</si>
  <si>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</si>
  <si>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</si>
  <si>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</si>
  <si>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</si>
  <si>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</si>
  <si>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</si>
  <si>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</si>
  <si>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</si>
  <si>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</si>
  <si>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</si>
  <si>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</si>
  <si>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</si>
  <si>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</si>
  <si>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</si>
  <si>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</si>
  <si>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</si>
  <si>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</si>
  <si>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</si>
  <si>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</si>
  <si>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</si>
  <si>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</si>
  <si>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</si>
  <si>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</si>
  <si>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</si>
  <si>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</si>
  <si>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</si>
  <si>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</si>
  <si>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</si>
  <si>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</si>
  <si>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</si>
  <si>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</si>
  <si>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</si>
  <si>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</si>
  <si>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</si>
  <si>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</si>
  <si>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</si>
  <si>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</si>
  <si>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</si>
  <si>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</si>
  <si>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</si>
  <si>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</si>
  <si>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</si>
  <si>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</si>
  <si>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</si>
  <si>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</si>
  <si>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</si>
  <si>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</si>
  <si>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</si>
  <si>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</si>
  <si>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</si>
  <si>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</si>
  <si>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</si>
  <si>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</si>
  <si>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</si>
  <si>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</si>
  <si>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</si>
  <si>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</si>
  <si>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</si>
  <si>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</si>
  <si>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</si>
  <si>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</si>
  <si>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</si>
  <si>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</si>
  <si>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</si>
  <si>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</si>
  <si>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</si>
  <si>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</si>
  <si>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</si>
  <si>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</si>
  <si>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</si>
  <si>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</si>
  <si>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</si>
  <si>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</si>
  <si>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</si>
  <si>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</si>
  <si>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</si>
  <si>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</si>
  <si>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</si>
  <si>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</si>
  <si>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</si>
  <si>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</si>
  <si>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</si>
  <si>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</si>
  <si>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</si>
  <si>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</si>
  <si>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</si>
  <si>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</si>
  <si>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</si>
  <si>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</si>
  <si>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</si>
  <si>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</si>
  <si>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</si>
  <si>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</si>
  <si>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</si>
  <si>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</si>
  <si>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</si>
  <si>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</si>
  <si>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</si>
  <si>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</si>
  <si>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</si>
  <si>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</si>
  <si>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</si>
  <si>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</si>
  <si>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</si>
  <si>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</si>
  <si>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</si>
  <si>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</si>
  <si>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</si>
  <si>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</si>
  <si>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</si>
  <si>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</si>
  <si>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</si>
  <si>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</si>
  <si>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</si>
  <si>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</si>
  <si>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</si>
  <si>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</si>
  <si>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</si>
  <si>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</si>
  <si>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</si>
  <si>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</si>
  <si>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</si>
  <si>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</si>
  <si>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</si>
  <si>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</si>
  <si>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</si>
  <si>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</si>
  <si>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</si>
  <si>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</si>
  <si>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</si>
  <si>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</si>
  <si>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</si>
  <si>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</si>
  <si>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</si>
  <si>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</si>
  <si>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</si>
  <si>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</si>
  <si>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</si>
  <si>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</si>
  <si>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</si>
  <si>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</si>
  <si>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</si>
  <si>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</si>
  <si>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</si>
  <si>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</si>
  <si>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</si>
  <si>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</si>
  <si>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</si>
  <si>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</si>
  <si>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</si>
  <si>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</si>
  <si>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</si>
  <si>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</si>
  <si>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</si>
  <si>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</si>
  <si>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</si>
  <si>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</si>
  <si>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</si>
  <si>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</si>
  <si>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</si>
  <si>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</si>
  <si>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</si>
  <si>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</si>
  <si>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</si>
  <si>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</si>
  <si>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</si>
  <si>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</si>
  <si>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</si>
  <si>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</si>
  <si>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</si>
  <si>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</si>
  <si>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</si>
  <si>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</si>
  <si>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</si>
  <si>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</si>
  <si>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</si>
  <si>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</si>
  <si>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</si>
  <si>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</si>
  <si>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</si>
  <si>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</si>
  <si>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</si>
  <si>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</si>
  <si>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</si>
  <si>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</si>
  <si>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</si>
  <si>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</si>
  <si>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</si>
  <si>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</si>
  <si>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</si>
  <si>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</si>
  <si>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</si>
  <si>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</si>
  <si>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</si>
  <si>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</si>
  <si>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</si>
  <si>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</si>
  <si>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</si>
  <si>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</si>
  <si>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</si>
  <si>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</si>
  <si>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</si>
  <si>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</si>
  <si>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</si>
  <si>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</si>
  <si>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</si>
  <si>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</si>
  <si>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</si>
  <si>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</si>
  <si>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</si>
  <si>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</si>
  <si>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</si>
  <si>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</si>
  <si>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</si>
  <si>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</si>
  <si>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</si>
  <si>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</si>
  <si>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</si>
  <si>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</si>
  <si>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</si>
  <si>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</si>
  <si>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</si>
  <si>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</si>
  <si>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</si>
  <si>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</si>
  <si>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</si>
  <si>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</si>
  <si>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</si>
  <si>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</si>
  <si>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</si>
  <si>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</si>
  <si>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</si>
  <si>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</si>
  <si>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</si>
  <si>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</si>
  <si>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</si>
  <si>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</si>
  <si>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</si>
  <si>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</si>
  <si>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</si>
  <si>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</si>
  <si>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</si>
  <si>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</si>
  <si>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</si>
  <si>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</si>
  <si>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</si>
  <si>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</si>
  <si>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</si>
  <si>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</si>
  <si>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</si>
  <si>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</si>
  <si>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</si>
  <si>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</si>
  <si>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</si>
  <si>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</si>
  <si>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</si>
  <si>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</si>
  <si>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</si>
  <si>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</si>
  <si>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</si>
  <si>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</si>
  <si>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</si>
  <si>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</si>
  <si>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</si>
  <si>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</si>
  <si>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</si>
  <si>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</si>
  <si>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</si>
  <si>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</si>
  <si>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</si>
  <si>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</si>
  <si>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</si>
  <si>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</si>
  <si>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</si>
  <si>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</si>
  <si>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</si>
  <si>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</si>
  <si>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</si>
  <si>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</si>
  <si>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</si>
  <si>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</si>
  <si>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</si>
  <si>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</si>
  <si>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</si>
  <si>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</si>
  <si>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</si>
  <si>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</si>
  <si>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</si>
  <si>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</si>
  <si>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</si>
  <si>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</si>
  <si>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</si>
  <si>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</si>
  <si>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</si>
  <si>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</si>
  <si>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</si>
  <si>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</si>
  <si>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</si>
  <si>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</si>
  <si>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</si>
  <si>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</si>
  <si>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</si>
  <si>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</si>
  <si>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</si>
  <si>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</si>
  <si>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</si>
  <si>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</si>
  <si>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</si>
  <si>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</si>
  <si>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</si>
  <si>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</si>
  <si>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</si>
  <si>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</si>
  <si>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</si>
  <si>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</si>
  <si>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</si>
  <si>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</si>
  <si>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</si>
  <si>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</si>
  <si>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</si>
  <si>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</si>
  <si>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</si>
  <si>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</si>
  <si>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</si>
  <si>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</si>
  <si>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</si>
  <si>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</si>
  <si>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</si>
  <si>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</si>
  <si>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</si>
  <si>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</si>
  <si>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</si>
  <si>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</si>
  <si>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</si>
  <si>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</si>
  <si>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</si>
  <si>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</si>
  <si>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</si>
  <si>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</si>
  <si>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</si>
  <si>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</si>
  <si>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</si>
  <si>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</si>
  <si>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</si>
  <si>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</si>
  <si>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</si>
  <si>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</si>
  <si>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</si>
  <si>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</si>
  <si>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</si>
  <si>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</si>
  <si>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</si>
  <si>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</si>
  <si>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</si>
  <si>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</si>
  <si>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</si>
  <si>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</si>
  <si>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</si>
  <si>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</si>
  <si>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</si>
  <si>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</si>
  <si>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</si>
  <si>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</si>
  <si>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</si>
  <si>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</si>
  <si>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</si>
  <si>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</si>
  <si>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</si>
  <si>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</si>
  <si>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</si>
  <si>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</si>
  <si>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</si>
  <si>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</si>
  <si>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</si>
  <si>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</si>
  <si>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</si>
  <si>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</si>
  <si>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</si>
  <si>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</si>
  <si>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</si>
  <si>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</si>
  <si>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</si>
  <si>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</si>
  <si>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</si>
  <si>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</si>
  <si>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</si>
  <si>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</si>
  <si>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</si>
  <si>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</si>
  <si>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</si>
  <si>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</si>
  <si>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</si>
  <si>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</si>
  <si>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</si>
  <si>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</si>
  <si>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</si>
  <si>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</si>
  <si>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</si>
  <si>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</si>
  <si>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</si>
  <si>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</si>
  <si>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</si>
  <si>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</si>
  <si>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</si>
  <si>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</si>
  <si>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</si>
  <si>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</si>
  <si>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</si>
  <si>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</si>
  <si>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</si>
  <si>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</si>
  <si>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</si>
  <si>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</si>
  <si>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</si>
  <si>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</si>
  <si>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</si>
  <si>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</si>
  <si>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</si>
  <si>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</si>
  <si>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</si>
  <si>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</si>
  <si>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</si>
  <si>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</si>
  <si>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</si>
  <si>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</si>
  <si>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</si>
  <si>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</si>
  <si>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</si>
  <si>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</si>
  <si>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</si>
  <si>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</si>
  <si>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</si>
  <si>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</si>
  <si>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</si>
  <si>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</si>
  <si>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</si>
  <si>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</si>
  <si>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</si>
  <si>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</si>
  <si>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</si>
  <si>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</si>
  <si>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</si>
  <si>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</si>
  <si>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</si>
  <si>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</si>
  <si>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</si>
  <si>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</si>
  <si>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</si>
  <si>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</si>
  <si>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</si>
  <si>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</si>
  <si>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</si>
  <si>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</si>
  <si>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</si>
  <si>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</si>
  <si>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</si>
  <si>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</si>
  <si>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</si>
  <si>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</si>
  <si>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</si>
  <si>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</si>
  <si>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</si>
  <si>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</si>
  <si>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</si>
  <si>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</si>
  <si>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</si>
  <si>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</si>
  <si>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</si>
  <si>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</si>
  <si>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</si>
  <si>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</si>
  <si>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</si>
  <si>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</si>
  <si>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</si>
  <si>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</si>
  <si>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</si>
  <si>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</si>
  <si>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</si>
  <si>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</si>
  <si>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</si>
  <si>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</si>
  <si>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</si>
  <si>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</si>
  <si>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</si>
  <si>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</si>
  <si>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</si>
  <si>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</si>
  <si>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</si>
  <si>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</si>
  <si>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</si>
  <si>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</si>
  <si>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</si>
  <si>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</si>
  <si>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</si>
  <si>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</si>
  <si>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</si>
  <si>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</si>
  <si>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</si>
  <si>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</si>
  <si>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</si>
  <si>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</si>
  <si>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</si>
  <si>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</si>
  <si>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</si>
  <si>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</si>
  <si>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</si>
  <si>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</si>
  <si>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</si>
  <si>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</si>
  <si>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</si>
  <si>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</si>
  <si>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</si>
  <si>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</si>
  <si>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</si>
  <si>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</si>
  <si>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</si>
  <si>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</si>
  <si>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</si>
  <si>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</si>
  <si>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</si>
  <si>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</si>
  <si>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</si>
  <si>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</si>
  <si>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</si>
  <si>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</si>
  <si>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</si>
  <si>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</si>
  <si>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</si>
  <si>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</si>
  <si>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</si>
  <si>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</si>
  <si>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</si>
  <si>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</si>
  <si>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</si>
  <si>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</si>
  <si>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</si>
  <si>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</si>
  <si>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</si>
  <si>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</si>
  <si>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</si>
  <si>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</si>
  <si>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</si>
  <si>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</si>
  <si>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</si>
  <si>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</si>
  <si>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</si>
  <si>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</si>
  <si>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</si>
  <si>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</si>
  <si>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</si>
  <si>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</si>
  <si>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</si>
  <si>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</si>
  <si>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</si>
  <si>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</si>
  <si>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</si>
  <si>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</si>
  <si>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</si>
  <si>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</si>
  <si>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</si>
  <si>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</si>
  <si>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</si>
  <si>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</si>
  <si>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</si>
  <si>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</si>
  <si>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</si>
  <si>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</si>
  <si>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</si>
  <si>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</si>
  <si>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</si>
  <si>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</si>
  <si>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</si>
  <si>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</si>
  <si>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</si>
  <si>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</si>
  <si>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</si>
  <si>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</si>
  <si>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</si>
  <si>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</si>
  <si>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</si>
  <si>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</si>
  <si>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</si>
  <si>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</si>
  <si>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</si>
  <si>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</si>
  <si>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</si>
  <si>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</si>
  <si>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</si>
  <si>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</si>
  <si>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</si>
  <si>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</si>
  <si>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</si>
  <si>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</si>
  <si>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</si>
  <si>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</si>
  <si>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</si>
  <si>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</si>
  <si>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</si>
  <si>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</si>
  <si>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</si>
  <si>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</si>
  <si>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</si>
  <si>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</si>
  <si>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</si>
  <si>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</si>
  <si>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</si>
  <si>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</si>
  <si>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</si>
  <si>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</si>
  <si>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</si>
  <si>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</si>
  <si>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</si>
  <si>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</si>
  <si>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</si>
  <si>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</si>
  <si>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</si>
  <si>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</si>
  <si>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</si>
  <si>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</si>
  <si>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</si>
  <si>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</si>
  <si>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</si>
  <si>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</si>
  <si>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</si>
  <si>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</si>
  <si>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</si>
  <si>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</si>
  <si>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</si>
  <si>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</si>
  <si>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</si>
  <si>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</si>
  <si>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</si>
  <si>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</si>
  <si>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</si>
  <si>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</si>
  <si>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</si>
  <si>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</si>
  <si>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</si>
  <si>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</si>
  <si>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</si>
  <si>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</si>
  <si>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</si>
  <si>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</si>
  <si>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</si>
  <si>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</si>
  <si>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</si>
  <si>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</si>
  <si>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</si>
  <si>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</si>
  <si>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</si>
  <si>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</si>
  <si>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</si>
  <si>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</si>
  <si>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</si>
  <si>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</si>
  <si>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</si>
  <si>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</si>
  <si>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</si>
  <si>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</si>
  <si>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</si>
  <si>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</si>
  <si>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</si>
  <si>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</si>
  <si>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</si>
  <si>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</si>
  <si>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</si>
  <si>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</si>
  <si>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</si>
  <si>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</si>
  <si>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</si>
  <si>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</si>
  <si>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</si>
  <si>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</si>
  <si>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</si>
  <si>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</si>
  <si>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</si>
  <si>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</si>
  <si>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</si>
  <si>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</si>
  <si>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</si>
  <si>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</si>
  <si>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</si>
  <si>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</si>
  <si>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</si>
  <si>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</si>
  <si>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</si>
  <si>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</si>
  <si>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</si>
  <si>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</si>
  <si>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</si>
  <si>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</si>
  <si>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</si>
  <si>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</si>
  <si>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</si>
  <si>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</si>
  <si>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</si>
  <si>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</si>
  <si>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</si>
  <si>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</si>
  <si>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</si>
  <si>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</si>
  <si>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</si>
  <si>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</si>
  <si>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</si>
  <si>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</si>
  <si>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</si>
  <si>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</si>
  <si>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</si>
  <si>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</si>
  <si>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</si>
  <si>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</si>
  <si>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</si>
  <si>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</si>
  <si>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</si>
  <si>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</si>
  <si>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</si>
  <si>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</si>
  <si>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</si>
  <si>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</si>
  <si>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</si>
  <si>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</si>
  <si>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</si>
  <si>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</si>
  <si>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</si>
  <si>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</si>
  <si>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</si>
  <si>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</si>
  <si>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</si>
  <si>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</si>
  <si>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</si>
  <si>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</si>
  <si>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</si>
  <si>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</si>
  <si>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</si>
  <si>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</si>
  <si>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</si>
  <si>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</si>
  <si>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</si>
  <si>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</si>
  <si>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</si>
  <si>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</si>
  <si>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</si>
  <si>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</si>
  <si>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</si>
  <si>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</si>
  <si>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</si>
  <si>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</si>
  <si>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</si>
  <si>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</si>
  <si>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</si>
  <si>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</si>
  <si>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</si>
  <si>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</si>
  <si>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</si>
  <si>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</si>
  <si>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</si>
  <si>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</si>
  <si>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</si>
  <si>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</si>
  <si>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</si>
  <si>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</si>
  <si>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</si>
  <si>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</si>
  <si>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</si>
  <si>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</si>
  <si>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</si>
  <si>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</si>
  <si>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</si>
  <si>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</si>
  <si>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</si>
  <si>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</si>
  <si>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</si>
  <si>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</si>
  <si>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</si>
  <si>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</si>
  <si>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</si>
  <si>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</si>
  <si>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</si>
  <si>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</si>
  <si>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</si>
  <si>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</si>
  <si>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</si>
  <si>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</si>
  <si>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</si>
  <si>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</si>
  <si>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</si>
  <si>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</si>
  <si>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</si>
  <si>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</si>
  <si>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</si>
  <si>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</si>
  <si>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</si>
  <si>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</si>
  <si>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</si>
  <si>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</si>
  <si>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</si>
  <si>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</si>
  <si>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</si>
  <si>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</si>
  <si>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</si>
  <si>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</si>
  <si>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</si>
  <si>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</si>
  <si>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</si>
  <si>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</si>
  <si>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</si>
  <si>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</si>
  <si>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</si>
  <si>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</si>
  <si>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</si>
  <si>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</si>
  <si>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</si>
  <si>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</si>
  <si>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</si>
  <si>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</si>
  <si>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</si>
  <si>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</si>
  <si>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</si>
  <si>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</si>
  <si>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</si>
  <si>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</si>
  <si>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</si>
  <si>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</si>
  <si>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</si>
  <si>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</si>
  <si>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</si>
  <si>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</si>
  <si>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</si>
  <si>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</si>
  <si>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</si>
  <si>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</si>
  <si>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</si>
  <si>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</si>
  <si>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</si>
  <si>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</si>
  <si>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</si>
  <si>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</si>
  <si>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</si>
  <si>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</si>
  <si>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</si>
  <si>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</si>
  <si>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</si>
  <si>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</si>
  <si>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</si>
  <si>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</si>
  <si>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</si>
  <si>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</si>
  <si>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</si>
  <si>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</si>
  <si>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</si>
  <si>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</si>
  <si>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</si>
  <si>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</si>
  <si>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</si>
  <si>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</si>
  <si>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</si>
  <si>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</si>
  <si>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</si>
  <si>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</si>
  <si>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</si>
  <si>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</si>
  <si>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</si>
  <si>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</si>
  <si>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</si>
  <si>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</si>
  <si>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</si>
  <si>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</si>
  <si>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</si>
  <si>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</si>
  <si>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</si>
  <si>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</si>
  <si>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</si>
  <si>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</si>
  <si>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</si>
  <si>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</si>
  <si>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</si>
  <si>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</si>
  <si>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</si>
  <si>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</si>
  <si>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</si>
  <si>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</si>
  <si>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</si>
  <si>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</si>
  <si>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</si>
  <si>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</si>
  <si>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</si>
  <si>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</si>
  <si>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</si>
  <si>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</si>
  <si>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</si>
  <si>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</si>
  <si>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</si>
  <si>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</si>
  <si>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</si>
  <si>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</si>
  <si>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</si>
  <si>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</si>
  <si>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</si>
  <si>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</si>
  <si>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</si>
  <si>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</si>
  <si>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</si>
  <si>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</si>
  <si>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</si>
  <si>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</si>
  <si>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</si>
  <si>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</si>
  <si>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</si>
  <si>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</si>
  <si>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</si>
  <si>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</si>
  <si>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</si>
  <si>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</si>
  <si>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</si>
  <si>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</si>
  <si>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</si>
  <si>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</si>
  <si>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</si>
  <si>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</si>
  <si>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</si>
  <si>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</si>
  <si>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</si>
  <si>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</si>
  <si>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</si>
  <si>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</si>
  <si>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</si>
  <si>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</si>
  <si>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</si>
  <si>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</si>
  <si>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</si>
  <si>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</si>
  <si>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</si>
  <si>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</si>
  <si>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</si>
  <si>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</si>
  <si>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</si>
  <si>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</si>
  <si>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</si>
  <si>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</si>
  <si>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</si>
  <si>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</si>
  <si>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</si>
  <si>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</si>
  <si>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</si>
  <si>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</si>
  <si>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</si>
  <si>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</si>
  <si>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</si>
  <si>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</si>
  <si>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</si>
  <si>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</si>
  <si>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</si>
  <si>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</si>
  <si>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</si>
  <si>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</si>
  <si>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</si>
  <si>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</si>
  <si>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</si>
  <si>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</si>
  <si>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</si>
  <si>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</si>
  <si>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</si>
  <si>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</si>
  <si>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</si>
  <si>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</si>
  <si>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</si>
  <si>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</si>
  <si>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</si>
  <si>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</si>
  <si>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</si>
  <si>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</si>
  <si>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</si>
  <si>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</si>
  <si>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</si>
  <si>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</si>
  <si>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</si>
  <si>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</si>
  <si>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</si>
  <si>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</si>
  <si>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</si>
  <si>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</si>
  <si>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</si>
  <si>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</si>
  <si>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</si>
  <si>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</si>
  <si>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</si>
  <si>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</si>
  <si>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</si>
  <si>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</si>
  <si>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</si>
  <si>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</si>
  <si>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</si>
  <si>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</si>
  <si>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</si>
  <si>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</si>
  <si>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</si>
  <si>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</si>
  <si>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</si>
  <si>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</si>
  <si>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</si>
  <si>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</si>
  <si>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</si>
  <si>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</si>
  <si>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</si>
  <si>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</si>
  <si>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</si>
  <si>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</si>
  <si>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</si>
  <si>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</si>
  <si>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</si>
  <si>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</si>
  <si>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</si>
  <si>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</si>
  <si>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</si>
  <si>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</si>
  <si>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</si>
  <si>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</si>
  <si>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</si>
  <si>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</si>
  <si>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</si>
  <si>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</si>
  <si>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</si>
  <si>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</si>
  <si>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</si>
  <si>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</si>
  <si>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</si>
  <si>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</si>
  <si>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</si>
  <si>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</si>
  <si>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</si>
  <si>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</si>
  <si>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</si>
  <si>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</si>
  <si>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</si>
  <si>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</si>
  <si>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</si>
  <si>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</si>
  <si>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</si>
  <si>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</si>
  <si>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</si>
  <si>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</si>
  <si>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</si>
  <si>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</si>
  <si>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</si>
  <si>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</si>
  <si>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</si>
  <si>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</si>
  <si>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</si>
  <si>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</si>
  <si>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</si>
  <si>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</si>
  <si>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</si>
  <si>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</si>
  <si>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</si>
  <si>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</si>
  <si>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</si>
  <si>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</si>
  <si>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</si>
  <si>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</si>
  <si>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</si>
  <si>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</si>
  <si>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</si>
  <si>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</si>
  <si>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</si>
  <si>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</si>
  <si>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</si>
  <si>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</si>
  <si>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</si>
  <si>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</si>
  <si>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</si>
  <si>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</si>
  <si>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</si>
  <si>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</si>
  <si>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</si>
  <si>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</si>
  <si>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</si>
  <si>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</si>
  <si>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</si>
  <si>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</si>
  <si>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</si>
  <si>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</si>
  <si>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</si>
  <si>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</si>
  <si>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</si>
  <si>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</si>
  <si>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</si>
  <si>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</si>
  <si>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</si>
  <si>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</si>
  <si>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</si>
  <si>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</si>
  <si>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</si>
  <si>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</si>
  <si>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</si>
  <si>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</si>
  <si>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</si>
  <si>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</si>
  <si>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</si>
  <si>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</si>
  <si>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</si>
  <si>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</si>
  <si>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</si>
  <si>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</si>
  <si>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</si>
  <si>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</si>
  <si>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</si>
  <si>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</si>
  <si>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</si>
  <si>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</si>
  <si>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</si>
  <si>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</si>
  <si>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</si>
  <si>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</si>
  <si>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</si>
  <si>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</si>
  <si>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</si>
  <si>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</si>
  <si>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</si>
  <si>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</si>
  <si>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</si>
  <si>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</si>
  <si>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</si>
  <si>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</si>
  <si>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</si>
  <si>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</si>
  <si>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</si>
  <si>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</si>
  <si>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</si>
  <si>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</si>
  <si>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</si>
  <si>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</si>
  <si>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</si>
  <si>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</si>
  <si>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</si>
  <si>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</si>
  <si>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</si>
  <si>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</si>
  <si>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</si>
  <si>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</si>
  <si>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</si>
  <si>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</si>
  <si>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</si>
  <si>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</si>
  <si>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</si>
  <si>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</si>
  <si>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</si>
  <si>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</si>
  <si>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</si>
  <si>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</si>
  <si>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</si>
  <si>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</si>
  <si>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</si>
  <si>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</si>
  <si>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</si>
  <si>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</si>
  <si>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</si>
  <si>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</si>
  <si>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</si>
  <si>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</si>
  <si>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</si>
  <si>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</si>
  <si>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</si>
  <si>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</si>
  <si>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</si>
  <si>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</si>
  <si>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</si>
  <si>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</si>
  <si>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</si>
  <si>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</si>
  <si>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</si>
  <si>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</si>
  <si>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</si>
  <si>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</si>
  <si>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</si>
  <si>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</si>
  <si>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</si>
  <si>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</si>
  <si>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</si>
  <si>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</si>
  <si>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</si>
  <si>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</si>
  <si>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</si>
  <si>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</si>
  <si>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</si>
  <si>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</si>
  <si>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</si>
  <si>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</si>
  <si>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</si>
  <si>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</si>
  <si>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</si>
  <si>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</si>
  <si>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</si>
  <si>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</si>
  <si>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</si>
  <si>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</si>
  <si>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</si>
  <si>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</si>
  <si>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</si>
  <si>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</si>
  <si>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</si>
  <si>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</si>
  <si>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</si>
  <si>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</si>
  <si>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</si>
  <si>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</si>
  <si>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</si>
  <si>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</si>
  <si>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</si>
  <si>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</si>
  <si>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</si>
  <si>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</si>
  <si>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</si>
  <si>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</si>
  <si>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</si>
  <si>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</si>
  <si>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</si>
  <si>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</si>
  <si>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</si>
  <si>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</si>
  <si>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</si>
  <si>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</si>
  <si>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</si>
  <si>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</si>
  <si>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</si>
  <si>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</si>
  <si>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</si>
  <si>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</si>
  <si>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</si>
  <si>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</si>
  <si>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</si>
  <si>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</si>
  <si>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</si>
  <si>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</si>
  <si>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</si>
  <si>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</si>
  <si>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</si>
  <si>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</si>
  <si>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</si>
  <si>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</si>
  <si>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</si>
  <si>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</si>
  <si>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</si>
  <si>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</si>
  <si>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</si>
  <si>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</si>
  <si>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</si>
  <si>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</si>
  <si>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</si>
  <si>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</si>
  <si>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</si>
  <si>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</si>
  <si>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</si>
  <si>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</si>
  <si>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</si>
  <si>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</si>
  <si>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</si>
  <si>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</si>
  <si>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</si>
  <si>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</si>
  <si>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</si>
  <si>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</si>
  <si>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</si>
  <si>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</si>
  <si>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</si>
  <si>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</si>
  <si>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</si>
  <si>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</si>
  <si>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</si>
  <si>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</si>
  <si>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</si>
  <si>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</si>
  <si>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</si>
  <si>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</si>
  <si>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</si>
  <si>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</si>
  <si>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</si>
  <si>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</si>
  <si>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</si>
  <si>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</si>
  <si>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</si>
  <si>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</si>
  <si>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</si>
  <si>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</si>
  <si>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</si>
  <si>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</si>
  <si>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</si>
  <si>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</si>
  <si>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</si>
  <si>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</si>
  <si>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</si>
  <si>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</si>
  <si>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</si>
  <si>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</si>
  <si>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</si>
  <si>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</si>
  <si>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</si>
  <si>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</si>
  <si>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</si>
  <si>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</si>
  <si>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</si>
  <si>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</si>
  <si>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</si>
  <si>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</si>
  <si>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</si>
  <si>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</si>
  <si>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</si>
  <si>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</si>
  <si>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</si>
  <si>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</si>
  <si>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</si>
  <si>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</si>
  <si>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</si>
  <si>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</si>
  <si>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</si>
  <si>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</si>
  <si>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</si>
  <si>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</si>
  <si>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</si>
  <si>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</si>
  <si>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</si>
  <si>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</si>
  <si>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</si>
  <si>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</si>
  <si>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</si>
  <si>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</si>
  <si>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</si>
  <si>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</si>
  <si>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</si>
  <si>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</si>
  <si>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</si>
  <si>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</si>
  <si>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</si>
  <si>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</si>
  <si>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</si>
  <si>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</si>
  <si>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</si>
  <si>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</si>
  <si>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</si>
  <si>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</si>
  <si>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</si>
  <si>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</si>
  <si>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</si>
  <si>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</si>
  <si>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</si>
  <si>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</si>
  <si>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</si>
  <si>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</si>
  <si>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</si>
  <si>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</si>
  <si>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</si>
  <si>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</si>
  <si>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</si>
  <si>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</si>
  <si>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</si>
  <si>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</si>
  <si>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</si>
  <si>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</si>
  <si>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</si>
  <si>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</si>
  <si>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</si>
  <si>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</si>
  <si>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</si>
  <si>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</si>
  <si>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</si>
  <si>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</si>
  <si>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</si>
  <si>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</si>
  <si>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</si>
  <si>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</si>
  <si>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</si>
  <si>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</si>
  <si>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</si>
  <si>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</si>
  <si>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</si>
  <si>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</si>
  <si>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</si>
  <si>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</si>
  <si>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</si>
  <si>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</si>
  <si>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</si>
  <si>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</si>
  <si>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</si>
  <si>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</si>
  <si>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</si>
  <si>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</si>
  <si>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</si>
  <si>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</si>
  <si>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</si>
  <si>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</si>
  <si>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</si>
  <si>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</si>
  <si>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</si>
  <si>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</si>
  <si>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</si>
  <si>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</si>
  <si>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</si>
  <si>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</si>
  <si>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</si>
  <si>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</si>
  <si>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</si>
  <si>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</si>
  <si>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</si>
  <si>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</si>
  <si>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</si>
  <si>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</si>
  <si>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</si>
  <si>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</si>
  <si>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</si>
  <si>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</si>
  <si>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</si>
  <si>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</si>
  <si>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</si>
  <si>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</si>
  <si>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</si>
  <si>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</si>
  <si>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</si>
  <si>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</si>
  <si>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</si>
  <si>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</si>
  <si>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</si>
  <si>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</si>
  <si>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</si>
  <si>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</si>
  <si>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</si>
  <si>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</si>
  <si>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</si>
  <si>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</si>
  <si>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</si>
  <si>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</si>
  <si>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</si>
  <si>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</si>
  <si>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</si>
  <si>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</si>
  <si>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</si>
  <si>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</si>
  <si>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</si>
  <si>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</si>
  <si>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</si>
  <si>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</si>
  <si>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</si>
  <si>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</si>
  <si>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</si>
  <si>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</si>
  <si>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</si>
  <si>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</si>
  <si>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</si>
  <si>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</si>
  <si>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</si>
  <si>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</si>
  <si>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</si>
  <si>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</si>
  <si>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</si>
  <si>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</si>
  <si>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</si>
  <si>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</si>
  <si>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</si>
  <si>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</si>
  <si>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</si>
  <si>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</si>
  <si>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</si>
  <si>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</si>
  <si>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</si>
  <si>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</si>
  <si>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</si>
  <si>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</si>
  <si>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</si>
  <si>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</si>
  <si>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</si>
  <si>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</si>
  <si>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</si>
  <si>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</si>
  <si>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</si>
  <si>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</si>
  <si>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</si>
  <si>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</si>
  <si>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</si>
  <si>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</si>
  <si>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</si>
  <si>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</si>
  <si>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</si>
  <si>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</si>
  <si>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</si>
  <si>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</si>
  <si>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</si>
  <si>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</si>
  <si>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</si>
  <si>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</si>
  <si>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</si>
  <si>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</si>
  <si>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</si>
  <si>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</si>
  <si>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</si>
  <si>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</si>
  <si>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</si>
  <si>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</si>
  <si>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</si>
  <si>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</si>
  <si>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</si>
  <si>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</si>
  <si>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</si>
  <si>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</si>
  <si>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</si>
  <si>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</si>
  <si>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</si>
  <si>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</si>
  <si>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</si>
  <si>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</si>
  <si>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</si>
  <si>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</si>
  <si>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</si>
  <si>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</si>
  <si>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</si>
  <si>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</si>
  <si>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</si>
  <si>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</si>
  <si>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</si>
  <si>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</si>
  <si>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</si>
  <si>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</si>
  <si>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</si>
  <si>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</si>
  <si>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</si>
  <si>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</si>
  <si>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</si>
  <si>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</si>
  <si>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</si>
  <si>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</si>
  <si>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</si>
  <si>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</si>
  <si>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</si>
  <si>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</si>
  <si>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</si>
  <si>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</si>
  <si>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</si>
  <si>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</si>
  <si>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</si>
  <si>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</si>
  <si>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</si>
  <si>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</si>
  <si>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</si>
  <si>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</si>
  <si>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</si>
  <si>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</si>
  <si>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</si>
  <si>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</si>
  <si>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</si>
  <si>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</si>
  <si>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</si>
  <si>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</si>
  <si>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</si>
  <si>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</si>
  <si>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</si>
  <si>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</si>
  <si>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</si>
  <si>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</si>
  <si>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</si>
  <si>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</si>
  <si>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</si>
  <si>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</si>
  <si>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</si>
  <si>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</si>
  <si>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</si>
  <si>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</si>
  <si>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</si>
  <si>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</si>
  <si>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</si>
  <si>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</si>
  <si>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</si>
  <si>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</si>
  <si>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</si>
  <si>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</si>
  <si>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</si>
  <si>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</si>
  <si>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</si>
  <si>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</si>
  <si>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</si>
  <si>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</si>
  <si>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</si>
  <si>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</si>
  <si>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</si>
  <si>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</si>
  <si>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</si>
  <si>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</si>
  <si>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</si>
  <si>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</si>
  <si>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</si>
  <si>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</si>
  <si>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</si>
  <si>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</si>
  <si>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</si>
  <si>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</si>
  <si>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</si>
  <si>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</si>
  <si>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</si>
  <si>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</si>
  <si>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</si>
  <si>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</si>
  <si>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</si>
  <si>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</si>
  <si>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</si>
  <si>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</si>
  <si>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</si>
  <si>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</si>
  <si>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</si>
  <si>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</si>
  <si>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</si>
  <si>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</si>
  <si>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</si>
  <si>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</si>
  <si>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</si>
  <si>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</si>
  <si>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</si>
  <si>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</si>
  <si>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</si>
  <si>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</si>
  <si>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</si>
  <si>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</si>
  <si>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</si>
  <si>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</si>
  <si>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</si>
  <si>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</si>
  <si>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</si>
  <si>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</si>
  <si>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</si>
  <si>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</si>
  <si>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</si>
  <si>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</si>
  <si>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</si>
  <si>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</si>
  <si>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</si>
  <si>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</si>
  <si>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</si>
  <si>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</si>
  <si>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</si>
  <si>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</si>
  <si>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</si>
  <si>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</si>
  <si>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</si>
  <si>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</si>
  <si>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</si>
  <si>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</si>
  <si>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</si>
  <si>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</si>
  <si>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</si>
  <si>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</si>
  <si>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</si>
  <si>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</si>
  <si>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</si>
  <si>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</si>
  <si>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</si>
  <si>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</si>
  <si>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</si>
  <si>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</si>
  <si>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</si>
  <si>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</si>
  <si>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</si>
  <si>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</si>
  <si>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</si>
  <si>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</si>
  <si>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</si>
  <si>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</si>
  <si>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</si>
  <si>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</si>
  <si>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</si>
  <si>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</si>
  <si>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</si>
  <si>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</si>
  <si>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</si>
  <si>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</si>
  <si>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</si>
  <si>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</si>
  <si>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</si>
  <si>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</si>
  <si>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</si>
  <si>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</si>
  <si>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</si>
  <si>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</si>
  <si>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</si>
  <si>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</si>
  <si>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</si>
  <si>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</si>
  <si>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</si>
  <si>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</si>
  <si>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</si>
  <si>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</si>
  <si>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</si>
  <si>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</si>
  <si>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</si>
  <si>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</si>
  <si>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</si>
  <si>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</si>
  <si>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</si>
  <si>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</si>
  <si>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</si>
  <si>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</si>
  <si>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</si>
  <si>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</si>
  <si>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</si>
  <si>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</si>
  <si>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</si>
  <si>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</si>
  <si>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</si>
  <si>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</si>
  <si>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</si>
  <si>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</si>
  <si>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</si>
  <si>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</si>
  <si>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</si>
  <si>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</si>
  <si>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</si>
  <si>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</si>
  <si>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</si>
  <si>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</si>
  <si>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</si>
  <si>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</si>
  <si>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</si>
  <si>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</si>
  <si>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</si>
  <si>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</si>
  <si>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</si>
  <si>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</si>
  <si>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</si>
  <si>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</si>
  <si>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</si>
  <si>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</si>
  <si>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</si>
  <si>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</si>
  <si>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</si>
  <si>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</si>
  <si>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</si>
  <si>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</si>
  <si>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</si>
  <si>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</si>
  <si>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</si>
  <si>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</si>
  <si>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</si>
  <si>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</si>
  <si>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</si>
  <si>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</si>
  <si>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</si>
  <si>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</si>
  <si>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</si>
  <si>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</si>
  <si>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</si>
  <si>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</si>
  <si>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</si>
  <si>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</si>
  <si>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</si>
  <si>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</si>
  <si>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</si>
  <si>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</si>
  <si>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</si>
  <si>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</si>
  <si>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</si>
  <si>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</si>
  <si>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</si>
  <si>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</si>
  <si>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</si>
  <si>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</si>
  <si>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</si>
  <si>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</si>
  <si>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</si>
  <si>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</si>
  <si>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</si>
  <si>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</si>
  <si>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</si>
  <si>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</si>
  <si>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</si>
  <si>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</si>
  <si>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</si>
  <si>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</si>
  <si>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</si>
  <si>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</si>
  <si>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</si>
  <si>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</si>
  <si>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</si>
  <si>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</si>
  <si>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</si>
  <si>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</si>
  <si>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</si>
  <si>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</si>
  <si>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</si>
  <si>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</si>
  <si>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</si>
  <si>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</si>
  <si>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</si>
  <si>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</si>
  <si>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</si>
  <si>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</si>
  <si>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</si>
  <si>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</si>
  <si>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</si>
  <si>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</si>
  <si>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</si>
  <si>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</si>
  <si>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</si>
  <si>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</si>
  <si>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</si>
  <si>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</si>
  <si>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</si>
  <si>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</si>
  <si>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</si>
  <si>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</si>
  <si>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</si>
  <si>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</si>
  <si>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</si>
  <si>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</si>
  <si>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</si>
  <si>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</si>
  <si>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</si>
  <si>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</si>
  <si>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</si>
  <si>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</si>
  <si>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</si>
  <si>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</si>
  <si>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</si>
  <si>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</si>
  <si>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</si>
  <si>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</si>
  <si>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</si>
  <si>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</si>
  <si>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</si>
  <si>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</si>
  <si>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</si>
  <si>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</si>
  <si>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</si>
  <si>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</si>
  <si>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</si>
  <si>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</si>
  <si>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</si>
  <si>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</si>
  <si>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</si>
  <si>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</si>
  <si>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</si>
  <si>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</si>
  <si>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</si>
  <si>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</si>
  <si>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</si>
  <si>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</si>
  <si>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</si>
  <si>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</si>
  <si>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</si>
  <si>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</si>
  <si>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</si>
  <si>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</si>
  <si>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</si>
  <si>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</si>
  <si>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</si>
  <si>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</si>
  <si>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</si>
  <si>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</si>
  <si>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</si>
  <si>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</si>
  <si>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</si>
  <si>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</si>
  <si>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</si>
  <si>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</si>
  <si>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</si>
  <si>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</si>
  <si>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</si>
  <si>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</si>
  <si>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</si>
  <si>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</si>
  <si>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</si>
  <si>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</si>
  <si>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</si>
  <si>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</si>
  <si>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</si>
  <si>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</si>
  <si>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</si>
  <si>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</si>
  <si>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</si>
  <si>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</si>
  <si>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</si>
  <si>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</si>
  <si>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</si>
  <si>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</si>
  <si>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</si>
  <si>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</si>
  <si>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</si>
  <si>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</si>
  <si>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</si>
  <si>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</si>
  <si>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</si>
  <si>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</si>
  <si>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</si>
  <si>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</si>
  <si>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</si>
  <si>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</si>
  <si>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</si>
  <si>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</si>
  <si>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</si>
  <si>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</si>
  <si>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</si>
  <si>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</si>
  <si>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</si>
  <si>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</si>
  <si>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</si>
  <si>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</si>
  <si>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</si>
  <si>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</si>
  <si>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</si>
  <si>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</si>
  <si>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</si>
  <si>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</si>
  <si>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</si>
  <si>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</si>
  <si>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</si>
  <si>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</si>
  <si>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</si>
  <si>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</si>
  <si>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</si>
  <si>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</si>
  <si>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</si>
  <si>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</si>
  <si>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</si>
  <si>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</si>
  <si>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</si>
  <si>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</si>
  <si>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</si>
  <si>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</si>
  <si>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</si>
  <si>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</si>
  <si>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</si>
  <si>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</si>
  <si>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</si>
  <si>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</si>
  <si>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</si>
  <si>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</si>
  <si>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</si>
  <si>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</si>
  <si>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</si>
  <si>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</si>
  <si>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</si>
  <si>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</si>
  <si>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</si>
  <si>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</si>
  <si>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</si>
  <si>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</si>
  <si>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</si>
  <si>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</si>
  <si>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</si>
  <si>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</si>
  <si>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</si>
  <si>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</si>
  <si>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</si>
  <si>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</si>
  <si>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</si>
  <si>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</si>
  <si>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</si>
  <si>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</si>
  <si>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</si>
  <si>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</si>
  <si>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</si>
  <si>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</si>
  <si>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</si>
  <si>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</si>
  <si>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</si>
  <si>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</si>
  <si>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</si>
  <si>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</si>
  <si>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</si>
  <si>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</si>
  <si>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</si>
  <si>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</si>
  <si>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</si>
  <si>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</si>
  <si>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</si>
  <si>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</si>
  <si>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</si>
  <si>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</si>
  <si>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</si>
  <si>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</si>
  <si>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</si>
  <si>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</si>
  <si>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</si>
  <si>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</si>
  <si>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</si>
  <si>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</si>
  <si>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</si>
  <si>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</si>
  <si>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</si>
  <si>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</si>
  <si>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</si>
  <si>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</si>
  <si>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</si>
  <si>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</si>
  <si>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</si>
  <si>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</si>
  <si>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</si>
  <si>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</si>
  <si>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</si>
  <si>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</si>
  <si>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</si>
  <si>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</si>
  <si>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</si>
  <si>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</si>
  <si>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</si>
  <si>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</si>
  <si>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</si>
  <si>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</si>
  <si>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</si>
  <si>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</si>
  <si>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</si>
  <si>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</si>
  <si>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</si>
  <si>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</si>
  <si>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</si>
  <si>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</si>
  <si>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</si>
  <si>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</si>
  <si>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</si>
  <si>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</si>
  <si>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</si>
  <si>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</si>
  <si>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</si>
  <si>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</si>
  <si>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</si>
  <si>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</si>
  <si>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</si>
  <si>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</si>
  <si>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</si>
  <si>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</si>
  <si>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</si>
  <si>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</si>
  <si>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</si>
  <si>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</si>
  <si>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</si>
  <si>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</si>
  <si>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</si>
  <si>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</si>
  <si>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</si>
  <si>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</si>
  <si>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</si>
  <si>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</si>
  <si>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</si>
  <si>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</si>
  <si>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</si>
  <si>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</si>
  <si>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</si>
  <si>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</si>
  <si>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</si>
  <si>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</si>
  <si>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</si>
  <si>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</si>
  <si>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</si>
  <si>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</si>
  <si>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</si>
  <si>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</si>
  <si>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</si>
  <si>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</si>
  <si>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</si>
  <si>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</si>
  <si>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</si>
  <si>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</si>
  <si>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</si>
  <si>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</si>
  <si>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</si>
  <si>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</si>
  <si>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</si>
  <si>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</si>
  <si>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</si>
  <si>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</si>
  <si>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</si>
  <si>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</si>
  <si>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</si>
  <si>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</si>
  <si>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</si>
  <si>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</si>
  <si>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</si>
  <si>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</si>
  <si>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</si>
  <si>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</si>
  <si>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</si>
  <si>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</si>
  <si>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</si>
  <si>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</si>
  <si>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</si>
  <si>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</si>
  <si>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</si>
  <si>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</si>
  <si>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</si>
  <si>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</si>
  <si>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</si>
  <si>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</si>
  <si>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</si>
  <si>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</si>
  <si>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</si>
  <si>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</si>
  <si>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</si>
  <si>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</si>
  <si>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</si>
  <si>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</si>
  <si>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</si>
  <si>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</si>
  <si>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</si>
  <si>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</si>
  <si>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</si>
  <si>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</si>
  <si>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</si>
  <si>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</si>
  <si>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</si>
  <si>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</si>
  <si>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</si>
  <si>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</si>
  <si>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</si>
  <si>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</si>
  <si>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</si>
  <si>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</si>
  <si>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</si>
  <si>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</si>
  <si>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</si>
  <si>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</si>
  <si>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</si>
  <si>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</si>
  <si>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</si>
  <si>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</si>
  <si>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</si>
  <si>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</si>
  <si>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</si>
  <si>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</si>
  <si>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</si>
  <si>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</si>
  <si>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</si>
  <si>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</si>
  <si>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</si>
  <si>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</si>
  <si>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</si>
  <si>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</si>
  <si>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</si>
  <si>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</si>
  <si>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</si>
  <si>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</si>
  <si>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</si>
  <si>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</si>
  <si>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</si>
  <si>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</si>
  <si>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</si>
  <si>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</si>
  <si>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</si>
  <si>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</si>
  <si>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</si>
  <si>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</si>
  <si>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</si>
  <si>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</si>
  <si>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</si>
  <si>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</si>
  <si>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</si>
  <si>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</si>
  <si>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</si>
  <si>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</si>
  <si>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</si>
  <si>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</si>
  <si>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</si>
  <si>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</si>
  <si>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</si>
  <si>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</si>
  <si>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</si>
  <si>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</si>
  <si>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</si>
  <si>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</si>
  <si>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</si>
  <si>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</si>
  <si>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</si>
  <si>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</si>
  <si>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</si>
  <si>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</si>
  <si>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</si>
  <si>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</si>
  <si>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</si>
  <si>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</si>
  <si>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</si>
  <si>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</si>
  <si>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</si>
  <si>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</si>
  <si>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</si>
  <si>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</si>
  <si>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</si>
  <si>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</si>
  <si>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</si>
  <si>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</si>
  <si>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</si>
  <si>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</si>
  <si>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</si>
  <si>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</si>
  <si>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</si>
  <si>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</si>
  <si>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</si>
  <si>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</si>
  <si>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</si>
  <si>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</si>
  <si>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</si>
  <si>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</si>
  <si>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</si>
  <si>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</si>
  <si>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</si>
  <si>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</si>
  <si>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</si>
  <si>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</si>
  <si>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</si>
  <si>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</si>
  <si>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</si>
  <si>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</si>
  <si>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</si>
  <si>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</si>
  <si>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</si>
  <si>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</si>
  <si>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</si>
  <si>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</si>
  <si>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</si>
  <si>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</si>
  <si>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</si>
  <si>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</si>
  <si>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</si>
  <si>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</si>
  <si>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</si>
  <si>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</si>
  <si>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</si>
  <si>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</si>
  <si>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</si>
  <si>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</si>
  <si>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</si>
  <si>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</si>
  <si>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</si>
  <si>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</si>
  <si>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</si>
  <si>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</si>
  <si>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</si>
  <si>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</si>
  <si>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</si>
  <si>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</si>
  <si>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</si>
  <si>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</si>
  <si>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</si>
  <si>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</si>
  <si>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</si>
  <si>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</si>
  <si>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</si>
  <si>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</si>
  <si>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</si>
  <si>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</si>
  <si>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</si>
  <si>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</si>
  <si>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</si>
  <si>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</si>
  <si>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</si>
  <si>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</si>
  <si>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</si>
  <si>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</si>
  <si>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</si>
  <si>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</si>
  <si>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</si>
  <si>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</si>
  <si>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</si>
  <si>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</si>
  <si>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</si>
  <si>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</si>
  <si>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</si>
  <si>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</si>
  <si>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</si>
  <si>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</si>
  <si>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</si>
  <si>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</si>
  <si>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</si>
  <si>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</si>
  <si>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</si>
  <si>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</si>
  <si>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</si>
  <si>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</si>
  <si>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</si>
  <si>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</si>
  <si>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</si>
  <si>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</si>
  <si>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</si>
  <si>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</si>
  <si>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</si>
  <si>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</si>
  <si>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</si>
  <si>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</si>
  <si>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</si>
  <si>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</si>
  <si>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</si>
  <si>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</si>
  <si>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</si>
  <si>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</si>
  <si>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</si>
  <si>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</si>
  <si>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</si>
  <si>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</si>
  <si>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</si>
  <si>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</si>
  <si>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</si>
  <si>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</si>
  <si>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</si>
  <si>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</si>
  <si>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</si>
  <si>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</si>
  <si>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</si>
  <si>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</si>
  <si>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</si>
  <si>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</si>
  <si>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</si>
  <si>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</si>
  <si>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</si>
  <si>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</si>
  <si>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</si>
  <si>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</si>
  <si>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</si>
  <si>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</si>
  <si>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</si>
  <si>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</si>
  <si>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</si>
  <si>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</si>
  <si>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</si>
  <si>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</si>
  <si>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</si>
  <si>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</si>
  <si>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</si>
  <si>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</si>
  <si>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</si>
  <si>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</si>
  <si>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</si>
  <si>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</si>
  <si>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</si>
  <si>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</si>
  <si>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</si>
  <si>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</si>
  <si>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</si>
  <si>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</si>
  <si>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</si>
  <si>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</si>
  <si>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</si>
  <si>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</si>
  <si>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</si>
  <si>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</si>
  <si>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</si>
  <si>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</si>
  <si>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</si>
  <si>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</si>
  <si>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</si>
  <si>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</si>
  <si>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</si>
  <si>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</si>
  <si>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</si>
  <si>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</si>
  <si>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</si>
  <si>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</si>
  <si>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</si>
  <si>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</si>
  <si>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</si>
  <si>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</si>
  <si>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</si>
  <si>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</si>
  <si>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</si>
  <si>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</si>
  <si>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</si>
  <si>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</si>
  <si>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</si>
  <si>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</si>
  <si>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</si>
  <si>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</si>
  <si>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</si>
  <si>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</si>
  <si>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</si>
  <si>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</si>
  <si>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</si>
  <si>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</si>
  <si>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</si>
  <si>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</si>
  <si>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</si>
  <si>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</si>
  <si>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</si>
  <si>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</si>
  <si>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</si>
  <si>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</si>
  <si>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</si>
  <si>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</si>
  <si>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</si>
  <si>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</si>
  <si>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</si>
  <si>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</si>
  <si>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</si>
  <si>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</si>
  <si>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</si>
  <si>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</si>
  <si>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</si>
  <si>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</si>
  <si>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</si>
  <si>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</si>
  <si>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</si>
  <si>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</si>
  <si>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</si>
  <si>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</si>
  <si>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</si>
  <si>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</si>
  <si>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</si>
  <si>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</si>
  <si>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</si>
  <si>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</si>
  <si>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</si>
  <si>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</si>
  <si>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</si>
  <si>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</si>
  <si>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</si>
  <si>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</si>
  <si>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</si>
  <si>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</si>
  <si>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</si>
  <si>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</si>
  <si>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</si>
  <si>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</si>
  <si>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</si>
  <si>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</si>
  <si>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</si>
  <si>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</si>
  <si>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</si>
  <si>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</si>
  <si>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</si>
  <si>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</si>
  <si>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</si>
  <si>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</si>
  <si>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</si>
  <si>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</si>
  <si>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</si>
  <si>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</si>
  <si>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</si>
  <si>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</si>
  <si>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</si>
  <si>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</si>
  <si>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</si>
  <si>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</si>
  <si>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</si>
  <si>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</si>
  <si>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</si>
  <si>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</si>
  <si>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</si>
  <si>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</si>
  <si>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</si>
  <si>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</si>
  <si>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</si>
  <si>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</si>
  <si>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</si>
  <si>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</si>
  <si>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</si>
  <si>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</si>
  <si>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</si>
  <si>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</si>
  <si>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</si>
  <si>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</si>
  <si>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</si>
  <si>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</si>
  <si>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</si>
  <si>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</si>
  <si>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</si>
  <si>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</si>
  <si>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</si>
  <si>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</si>
  <si>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</si>
  <si>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</si>
  <si>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</si>
  <si>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</si>
  <si>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</si>
  <si>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</si>
  <si>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</si>
  <si>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</si>
  <si>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</si>
  <si>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</si>
  <si>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</si>
  <si>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</si>
  <si>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</si>
  <si>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</si>
  <si>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</si>
  <si>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</si>
  <si>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</si>
  <si>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</si>
  <si>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</si>
  <si>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</si>
  <si>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</si>
  <si>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</si>
  <si>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</si>
  <si>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</si>
  <si>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</si>
  <si>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</si>
  <si>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</si>
  <si>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</si>
  <si>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</si>
  <si>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</si>
  <si>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</si>
  <si>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</si>
  <si>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</si>
  <si>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</si>
  <si>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</si>
  <si>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</si>
  <si>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</si>
  <si>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</si>
  <si>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</si>
  <si>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</si>
  <si>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</si>
  <si>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</si>
  <si>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</si>
  <si>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</si>
  <si>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</si>
  <si>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</si>
  <si>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</si>
  <si>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</si>
  <si>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</si>
  <si>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</si>
  <si>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</si>
  <si>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</si>
  <si>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</si>
  <si>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</si>
  <si>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</si>
  <si>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</si>
  <si>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</si>
  <si>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</si>
  <si>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</si>
  <si>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</si>
  <si>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</si>
  <si>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</si>
  <si>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</si>
  <si>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</si>
  <si>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</si>
  <si>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</si>
  <si>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</si>
  <si>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</si>
  <si>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</si>
  <si>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</si>
  <si>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</si>
  <si>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</si>
  <si>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</si>
  <si>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</si>
  <si>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</si>
  <si>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</si>
  <si>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</si>
  <si>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</si>
  <si>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</si>
  <si>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</si>
  <si>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</si>
  <si>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</si>
  <si>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</si>
  <si>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</si>
  <si>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</si>
  <si>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</si>
  <si>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</si>
  <si>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</si>
  <si>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</si>
  <si>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</si>
  <si>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</si>
  <si>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</si>
  <si>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</si>
  <si>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</si>
  <si>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</si>
  <si>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</si>
  <si>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</si>
  <si>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</si>
  <si>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</si>
  <si>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</si>
  <si>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</si>
  <si>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</si>
  <si>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</si>
  <si>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</si>
  <si>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</si>
  <si>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</si>
  <si>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</si>
  <si>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</si>
  <si>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</si>
  <si>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</si>
  <si>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</si>
  <si>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</si>
  <si>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</si>
  <si>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</si>
  <si>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</si>
  <si>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</si>
  <si>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</si>
  <si>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</si>
  <si>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</si>
  <si>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</si>
  <si>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</si>
  <si>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</si>
  <si>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</si>
  <si>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</si>
  <si>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</si>
  <si>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</si>
  <si>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</si>
  <si>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</si>
  <si>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</si>
  <si>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</si>
  <si>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</si>
  <si>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</si>
  <si>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</si>
  <si>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</si>
  <si>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</si>
  <si>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</si>
  <si>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</si>
  <si>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</si>
  <si>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</si>
  <si>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</si>
  <si>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</si>
  <si>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</si>
  <si>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</si>
  <si>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</si>
  <si>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</si>
  <si>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</si>
  <si>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</si>
  <si>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</si>
  <si>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</si>
  <si>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</si>
  <si>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</si>
  <si>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</si>
  <si>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</si>
  <si>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</si>
  <si>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</si>
  <si>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</si>
  <si>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</si>
  <si>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</si>
  <si>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</si>
  <si>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</si>
  <si>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</si>
  <si>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</si>
  <si>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</si>
  <si>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</si>
  <si>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</si>
  <si>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</si>
  <si>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</si>
  <si>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</si>
  <si>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</si>
  <si>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</si>
  <si>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</si>
  <si>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</si>
  <si>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</si>
  <si>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</si>
  <si>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</si>
  <si>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</si>
  <si>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</si>
  <si>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</si>
  <si>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</si>
  <si>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</si>
  <si>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</si>
  <si>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</si>
  <si>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</si>
  <si>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</si>
  <si>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</si>
  <si>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</si>
  <si>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</si>
  <si>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</si>
  <si>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</si>
  <si>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</si>
  <si>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</si>
  <si>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</si>
  <si>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</si>
  <si>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</si>
  <si>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</si>
  <si>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</si>
  <si>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</si>
  <si>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</si>
  <si>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</si>
  <si>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</si>
  <si>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</si>
  <si>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</si>
  <si>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</si>
  <si>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</si>
  <si>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</si>
  <si>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</si>
  <si>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</si>
  <si>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</si>
  <si>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</si>
  <si>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</si>
  <si>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</si>
  <si>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</si>
  <si>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</si>
  <si>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</si>
  <si>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</si>
  <si>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</si>
  <si>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</si>
  <si>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</si>
  <si>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</si>
  <si>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</si>
  <si>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</si>
  <si>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</si>
  <si>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</si>
  <si>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</si>
  <si>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</si>
  <si>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</si>
  <si>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</si>
  <si>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</si>
  <si>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</si>
  <si>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</si>
  <si>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</si>
  <si>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</si>
  <si>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</si>
  <si>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</si>
  <si>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</si>
  <si>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</si>
  <si>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</si>
  <si>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</si>
  <si>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</si>
  <si>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</si>
  <si>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</si>
  <si>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</si>
  <si>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</si>
  <si>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</si>
  <si>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</si>
  <si>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</si>
  <si>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</si>
  <si>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</si>
  <si>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</si>
  <si>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</si>
  <si>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</si>
  <si>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</si>
  <si>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</si>
  <si>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</si>
  <si>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</si>
  <si>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</si>
  <si>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</si>
  <si>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</si>
  <si>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</si>
  <si>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</si>
  <si>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</si>
  <si>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</si>
  <si>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</si>
  <si>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</si>
  <si>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</si>
  <si>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</si>
  <si>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</si>
  <si>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</si>
  <si>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</si>
  <si>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</si>
  <si>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</si>
  <si>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</si>
  <si>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</si>
  <si>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</si>
  <si>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</si>
  <si>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</si>
  <si>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</si>
  <si>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</si>
  <si>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</si>
  <si>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</si>
  <si>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</si>
  <si>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</si>
  <si>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</si>
  <si>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</si>
  <si>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</si>
  <si>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</si>
  <si>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</si>
  <si>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</si>
  <si>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</si>
  <si>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</si>
  <si>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</si>
  <si>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</si>
  <si>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</si>
  <si>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</si>
  <si>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</si>
  <si>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</si>
  <si>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</si>
  <si>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</si>
  <si>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</si>
  <si>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</si>
  <si>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</si>
  <si>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</si>
  <si>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</si>
  <si>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</si>
  <si>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</si>
  <si>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</si>
  <si>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</si>
  <si>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</si>
  <si>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</si>
  <si>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</si>
  <si>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</si>
  <si>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</si>
  <si>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</si>
  <si>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</si>
  <si>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</si>
  <si>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</si>
  <si>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</si>
  <si>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</si>
  <si>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</si>
  <si>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</si>
  <si>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</si>
  <si>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</si>
  <si>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</si>
  <si>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</si>
  <si>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</si>
  <si>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</si>
  <si>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</si>
  <si>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</si>
  <si>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</si>
  <si>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</si>
  <si>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</si>
  <si>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</si>
  <si>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</si>
  <si>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</si>
  <si>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</si>
  <si>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</si>
  <si>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</si>
  <si>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</si>
  <si>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</si>
  <si>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</si>
  <si>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</si>
  <si>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</si>
  <si>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</si>
  <si>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</si>
  <si>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</si>
  <si>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</si>
  <si>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</si>
  <si>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</si>
  <si>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</si>
  <si>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</si>
  <si>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</si>
  <si>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</si>
  <si>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</si>
  <si>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</si>
  <si>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</si>
  <si>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</si>
  <si>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</si>
  <si>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</si>
  <si>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</si>
  <si>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</si>
  <si>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</si>
  <si>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</si>
  <si>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</si>
  <si>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</si>
  <si>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</si>
  <si>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</si>
  <si>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</si>
  <si>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</si>
  <si>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</si>
  <si>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</si>
  <si>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</si>
  <si>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</si>
  <si>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</si>
  <si>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</si>
  <si>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</si>
  <si>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</si>
  <si>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</si>
  <si>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</si>
  <si>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</si>
  <si>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</si>
  <si>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</si>
  <si>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</si>
  <si>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</si>
  <si>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</si>
  <si>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</si>
  <si>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</si>
  <si>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</si>
  <si>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</si>
  <si>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</si>
  <si>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</si>
  <si>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</si>
  <si>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</si>
  <si>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</si>
  <si>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</si>
  <si>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</si>
  <si>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</si>
  <si>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</si>
  <si>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</si>
  <si>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</si>
  <si>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</si>
  <si>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</si>
  <si>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</si>
  <si>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</si>
  <si>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</si>
  <si>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</si>
  <si>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</si>
  <si>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</si>
  <si>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</si>
  <si>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</si>
  <si>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</si>
  <si>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</si>
  <si>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</si>
  <si>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</si>
  <si>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</si>
  <si>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</si>
  <si>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</si>
  <si>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</si>
  <si>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</si>
  <si>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</si>
  <si>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</si>
  <si>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</si>
  <si>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</si>
  <si>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</si>
  <si>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</si>
  <si>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</si>
  <si>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</si>
  <si>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</si>
  <si>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</si>
  <si>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</si>
  <si>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</si>
  <si>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</si>
  <si>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</si>
  <si>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</si>
  <si>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</si>
  <si>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</si>
  <si>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</si>
  <si>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</si>
  <si>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</si>
  <si>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</si>
  <si>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</si>
  <si>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</si>
  <si>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</si>
  <si>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</si>
  <si>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</si>
  <si>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</si>
  <si>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</si>
  <si>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</si>
  <si>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</si>
  <si>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</si>
  <si>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</si>
  <si>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</si>
  <si>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</si>
  <si>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</si>
  <si>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</si>
  <si>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</si>
  <si>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</si>
  <si>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</si>
  <si>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</si>
  <si>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</si>
  <si>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</si>
  <si>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</si>
  <si>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</si>
  <si>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</si>
  <si>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</si>
  <si>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</si>
  <si>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</si>
  <si>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</si>
  <si>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</si>
  <si>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</si>
  <si>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</si>
  <si>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</si>
  <si>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</si>
  <si>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</si>
  <si>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</si>
  <si>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</si>
  <si>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</si>
  <si>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</si>
  <si>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</si>
  <si>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</si>
  <si>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</si>
  <si>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</si>
  <si>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</si>
  <si>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</si>
  <si>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</si>
  <si>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</si>
  <si>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</si>
  <si>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</si>
  <si>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</si>
  <si>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</si>
  <si>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</si>
  <si>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</si>
  <si>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</si>
  <si>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</si>
  <si>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</si>
  <si>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</si>
  <si>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</si>
  <si>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</si>
  <si>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</si>
  <si>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</si>
  <si>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</si>
  <si>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</si>
  <si>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</si>
  <si>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</si>
  <si>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</si>
  <si>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</si>
  <si>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</si>
  <si>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</si>
  <si>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</si>
  <si>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</si>
  <si>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</si>
  <si>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</si>
  <si>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</si>
  <si>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</si>
  <si>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</si>
  <si>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</si>
  <si>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</si>
  <si>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</si>
  <si>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</si>
  <si>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</si>
  <si>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</si>
  <si>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</si>
  <si>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</si>
  <si>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</si>
  <si>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</si>
  <si>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</si>
  <si>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</si>
  <si>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</si>
  <si>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</si>
  <si>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</si>
  <si>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</si>
  <si>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</si>
  <si>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</si>
  <si>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</si>
  <si>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</si>
  <si>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</si>
  <si>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</si>
  <si>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</si>
  <si>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</si>
  <si>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</si>
  <si>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</si>
  <si>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</si>
  <si>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</si>
  <si>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</si>
  <si>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</si>
  <si>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</si>
  <si>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</si>
  <si>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</si>
  <si>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</si>
  <si>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</si>
  <si>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</si>
  <si>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</si>
  <si>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</si>
  <si>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</si>
  <si>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</si>
  <si>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</si>
  <si>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</si>
  <si>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</si>
  <si>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</si>
  <si>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</si>
  <si>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</si>
  <si>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</si>
  <si>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</si>
  <si>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</si>
  <si>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</si>
  <si>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</si>
  <si>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</si>
  <si>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</si>
  <si>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</si>
  <si>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</si>
  <si>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</si>
  <si>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</si>
  <si>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</si>
  <si>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</si>
  <si>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</si>
  <si>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</si>
  <si>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</si>
  <si>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</si>
  <si>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</si>
  <si>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</si>
  <si>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</si>
  <si>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</si>
  <si>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</si>
  <si>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</si>
  <si>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</si>
  <si>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</si>
  <si>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</si>
  <si>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</si>
  <si>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</si>
  <si>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</si>
  <si>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</si>
  <si>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</si>
  <si>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</si>
  <si>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</si>
  <si>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</si>
  <si>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</si>
  <si>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</si>
  <si>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</si>
  <si>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</si>
  <si>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</si>
  <si>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</si>
  <si>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</si>
  <si>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</si>
  <si>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</si>
  <si>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</si>
  <si>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</si>
  <si>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</si>
  <si>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</si>
  <si>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</si>
  <si>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</si>
  <si>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</si>
  <si>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</si>
  <si>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</si>
  <si>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</si>
  <si>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</si>
  <si>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</si>
  <si>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</si>
  <si>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</si>
  <si>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</si>
  <si>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</si>
  <si>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</si>
  <si>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</si>
  <si>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</si>
  <si>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</si>
  <si>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</si>
  <si>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</si>
  <si>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</si>
  <si>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</si>
  <si>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</si>
  <si>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</si>
  <si>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</si>
  <si>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</si>
  <si>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</si>
  <si>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</si>
  <si>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</si>
  <si>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</si>
  <si>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</si>
  <si>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</si>
  <si>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</si>
  <si>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</si>
  <si>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</si>
  <si>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</si>
  <si>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</si>
  <si>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</si>
  <si>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</si>
  <si>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</si>
  <si>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</si>
  <si>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</si>
  <si>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</si>
  <si>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</si>
  <si>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</si>
  <si>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</si>
  <si>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</si>
  <si>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</si>
  <si>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</si>
  <si>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</si>
  <si>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</si>
  <si>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</si>
  <si>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</si>
  <si>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</si>
  <si>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</si>
  <si>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</si>
  <si>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</si>
  <si>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</si>
  <si>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</si>
  <si>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</si>
  <si>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</si>
  <si>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</si>
  <si>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</si>
  <si>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</si>
  <si>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</si>
  <si>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</si>
  <si>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</si>
  <si>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</si>
  <si>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</si>
  <si>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</si>
  <si>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</si>
  <si>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</si>
  <si>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</si>
  <si>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</si>
  <si>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</si>
  <si>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</si>
  <si>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</si>
  <si>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</si>
  <si>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</si>
  <si>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</si>
  <si>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</si>
  <si>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</si>
  <si>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</si>
  <si>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</si>
  <si>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</si>
  <si>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</si>
  <si>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</si>
  <si>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</si>
  <si>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</si>
  <si>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</si>
  <si>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</si>
  <si>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</si>
  <si>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</si>
  <si>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</si>
  <si>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</si>
  <si>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</si>
  <si>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</si>
  <si>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</si>
  <si>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</si>
  <si>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</si>
  <si>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</si>
  <si>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</si>
  <si>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</si>
  <si>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</si>
  <si>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</si>
  <si>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</si>
  <si>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</si>
  <si>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</si>
  <si>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</si>
  <si>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</si>
  <si>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</si>
  <si>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</si>
  <si>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</si>
  <si>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</si>
  <si>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</si>
  <si>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</si>
  <si>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</si>
  <si>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</si>
  <si>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</si>
  <si>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</si>
  <si>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</si>
  <si>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</si>
  <si>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</si>
  <si>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</si>
  <si>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</si>
  <si>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</si>
  <si>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</si>
  <si>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</si>
  <si>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</si>
  <si>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</si>
  <si>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</si>
  <si>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</si>
  <si>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</si>
  <si>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</si>
  <si>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</si>
  <si>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</si>
  <si>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</si>
  <si>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</si>
  <si>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</si>
  <si>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</si>
  <si>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</si>
  <si>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</si>
  <si>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</si>
  <si>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</si>
  <si>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</si>
  <si>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</si>
  <si>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</si>
  <si>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</si>
  <si>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</si>
  <si>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</si>
  <si>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</si>
  <si>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</si>
  <si>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</si>
  <si>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</si>
  <si>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</si>
  <si>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</si>
  <si>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</si>
  <si>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</si>
  <si>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</si>
  <si>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</si>
  <si>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</si>
  <si>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</si>
  <si>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</si>
  <si>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</si>
  <si>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</si>
  <si>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</si>
  <si>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</si>
  <si>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</si>
  <si>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</si>
  <si>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</si>
  <si>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</si>
  <si>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</si>
  <si>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</si>
  <si>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</si>
  <si>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</si>
  <si>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</si>
  <si>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</si>
  <si>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</si>
  <si>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</si>
  <si>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</si>
  <si>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</si>
  <si>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</si>
  <si>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</si>
  <si>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</si>
  <si>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</si>
  <si>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</si>
  <si>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</si>
  <si>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</si>
  <si>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</si>
  <si>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</si>
  <si>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</si>
  <si>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</si>
  <si>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</si>
  <si>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</si>
  <si>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</si>
  <si>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</si>
  <si>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</si>
  <si>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</si>
  <si>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</si>
  <si>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</si>
  <si>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</si>
  <si>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</si>
  <si>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</si>
  <si>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</si>
  <si>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</si>
  <si>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</si>
  <si>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</si>
  <si>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</si>
  <si>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</si>
  <si>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</si>
  <si>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</si>
  <si>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</si>
  <si>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</si>
  <si>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</si>
  <si>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</si>
  <si>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</si>
  <si>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</si>
  <si>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</si>
  <si>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</si>
  <si>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</si>
  <si>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</si>
  <si>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</si>
  <si>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</si>
  <si>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</si>
  <si>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</si>
  <si>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</si>
  <si>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</si>
  <si>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</si>
  <si>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</si>
  <si>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</si>
  <si>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</si>
  <si>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</si>
  <si>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</si>
  <si>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</si>
  <si>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</si>
  <si>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</si>
  <si>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</si>
  <si>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</si>
  <si>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</si>
  <si>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</si>
  <si>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</si>
  <si>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</si>
  <si>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</si>
  <si>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</si>
  <si>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</si>
  <si>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</si>
  <si>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</si>
  <si>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</si>
  <si>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</si>
  <si>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</si>
  <si>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</si>
  <si>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</si>
  <si>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</si>
  <si>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</si>
  <si>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</si>
  <si>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</si>
  <si>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</si>
  <si>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</si>
  <si>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</si>
  <si>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</si>
  <si>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</si>
  <si>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</si>
  <si>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</si>
  <si>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</si>
  <si>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</si>
  <si>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</si>
  <si>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</si>
  <si>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</si>
  <si>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</si>
  <si>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</si>
  <si>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</si>
  <si>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</si>
  <si>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</si>
  <si>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</si>
  <si>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</si>
  <si>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</si>
  <si>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</si>
  <si>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</si>
  <si>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</si>
  <si>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</si>
  <si>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</si>
  <si>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</si>
  <si>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</si>
  <si>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</si>
  <si>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</si>
  <si>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</si>
  <si>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</si>
  <si>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</si>
  <si>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</si>
  <si>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</si>
  <si>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</si>
  <si>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</si>
  <si>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</si>
  <si>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</si>
  <si>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</si>
  <si>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</si>
  <si>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</si>
  <si>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</si>
  <si>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</si>
  <si>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</si>
  <si>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</si>
  <si>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</si>
  <si>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</si>
  <si>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</si>
  <si>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</si>
  <si>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</si>
  <si>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</si>
  <si>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</si>
  <si>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</si>
  <si>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</si>
  <si>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</si>
  <si>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</si>
  <si>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</si>
  <si>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</si>
  <si>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</si>
  <si>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</si>
  <si>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</si>
  <si>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</si>
  <si>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</si>
  <si>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</si>
  <si>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</si>
  <si>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</si>
  <si>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</si>
  <si>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</si>
  <si>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</si>
  <si>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</si>
  <si>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</si>
  <si>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</si>
  <si>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</si>
  <si>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</si>
  <si>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</si>
  <si>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</si>
  <si>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</si>
  <si>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</si>
  <si>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</si>
  <si>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</si>
  <si>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</si>
  <si>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</si>
  <si>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</si>
  <si>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</si>
  <si>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</si>
  <si>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</si>
  <si>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</si>
  <si>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</si>
  <si>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</si>
  <si>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</si>
  <si>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</si>
  <si>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</si>
  <si>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</si>
  <si>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</si>
  <si>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</si>
  <si>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</si>
  <si>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</si>
  <si>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</si>
  <si>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</si>
  <si>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</si>
  <si>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</si>
  <si>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</si>
  <si>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</si>
  <si>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</si>
  <si>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</si>
  <si>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</si>
  <si>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</si>
  <si>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</si>
  <si>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</si>
  <si>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</si>
  <si>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</si>
  <si>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</si>
  <si>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</si>
  <si>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</si>
  <si>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</si>
  <si>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</si>
  <si>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</si>
  <si>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</si>
  <si>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</si>
  <si>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</si>
  <si>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</si>
  <si>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</si>
  <si>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</si>
  <si>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</si>
  <si>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</si>
  <si>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</si>
  <si>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</si>
  <si>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</si>
  <si>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</si>
  <si>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</si>
  <si>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</si>
  <si>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</si>
  <si>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</si>
  <si>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</si>
  <si>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</si>
  <si>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</si>
  <si>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</si>
  <si>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</si>
  <si>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</si>
  <si>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</si>
  <si>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</si>
  <si>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</si>
  <si>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</si>
  <si>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</si>
  <si>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</si>
  <si>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</si>
  <si>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</si>
  <si>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</si>
  <si>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</si>
  <si>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</si>
  <si>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</si>
  <si>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</si>
  <si>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</si>
  <si>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</si>
  <si>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</si>
  <si>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</si>
  <si>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</si>
  <si>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</si>
  <si>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</si>
  <si>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</si>
  <si>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</si>
  <si>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</si>
  <si>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</si>
  <si>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</si>
  <si>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</si>
  <si>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</si>
  <si>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</si>
  <si>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</si>
  <si>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</si>
  <si>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</si>
  <si>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</si>
  <si>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</si>
  <si>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</si>
  <si>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</si>
  <si>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</si>
  <si>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</si>
  <si>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</si>
  <si>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</si>
  <si>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</si>
  <si>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</si>
  <si>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</si>
  <si>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</si>
  <si>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</si>
  <si>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</si>
  <si>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</si>
  <si>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</si>
  <si>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</si>
  <si>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</si>
  <si>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</si>
  <si>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</si>
  <si>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</si>
  <si>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</si>
  <si>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</si>
  <si>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</si>
  <si>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</si>
  <si>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</si>
  <si>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</si>
  <si>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</si>
  <si>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</si>
  <si>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</si>
  <si>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</si>
  <si>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</si>
  <si>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</si>
  <si>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</si>
  <si>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</si>
  <si>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</si>
  <si>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</si>
  <si>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</si>
  <si>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</si>
  <si>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</si>
  <si>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</si>
  <si>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</si>
  <si>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</si>
  <si>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</si>
  <si>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</si>
  <si>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</si>
  <si>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</si>
  <si>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</si>
  <si>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</si>
  <si>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</si>
  <si>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</si>
  <si>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</si>
  <si>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</si>
  <si>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</si>
  <si>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</si>
  <si>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</si>
  <si>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</si>
  <si>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</si>
  <si>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</si>
  <si>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</si>
  <si>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</si>
  <si>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</si>
  <si>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</si>
  <si>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</si>
  <si>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</si>
  <si>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</si>
  <si>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</si>
  <si>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</si>
  <si>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</si>
  <si>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</si>
  <si>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</si>
  <si>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</si>
  <si>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</si>
  <si>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</si>
  <si>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</si>
  <si>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</si>
  <si>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</si>
  <si>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</si>
  <si>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</si>
  <si>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</si>
  <si>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</si>
  <si>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</si>
  <si>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</si>
  <si>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</si>
  <si>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</si>
  <si>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</si>
  <si>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</si>
  <si>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</si>
  <si>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</si>
  <si>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</si>
  <si>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</si>
  <si>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</si>
  <si>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</si>
  <si>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</si>
  <si>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</si>
  <si>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</si>
  <si>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</si>
  <si>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</si>
  <si>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</si>
  <si>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</si>
  <si>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</si>
  <si>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</si>
  <si>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</si>
  <si>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</si>
  <si>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</si>
  <si>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</si>
  <si>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</si>
  <si>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</si>
  <si>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</si>
  <si>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</si>
  <si>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</si>
  <si>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</si>
  <si>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</si>
  <si>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</si>
  <si>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</si>
  <si>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</si>
  <si>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</si>
  <si>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</si>
  <si>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</si>
  <si>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</si>
  <si>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</si>
  <si>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</si>
  <si>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</si>
  <si>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</si>
  <si>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</si>
  <si>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</si>
  <si>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</si>
  <si>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</si>
  <si>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</si>
  <si>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</si>
  <si>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</si>
  <si>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</si>
  <si>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</si>
  <si>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</si>
  <si>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</si>
  <si>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</si>
  <si>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</si>
  <si>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</si>
  <si>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</si>
  <si>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</si>
  <si>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</si>
  <si>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</si>
  <si>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</si>
  <si>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</si>
  <si>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</si>
  <si>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</si>
  <si>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</si>
  <si>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</si>
  <si>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</si>
  <si>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</si>
  <si>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</si>
  <si>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</si>
  <si>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</si>
  <si>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</si>
  <si>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</si>
  <si>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</si>
  <si>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</si>
  <si>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</si>
  <si>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</si>
  <si>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</si>
  <si>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</si>
  <si>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</si>
  <si>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</si>
  <si>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</si>
  <si>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</si>
  <si>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</si>
  <si>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</si>
  <si>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</si>
  <si>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</si>
  <si>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</si>
  <si>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</si>
  <si>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</si>
  <si>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</si>
  <si>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</si>
  <si>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</si>
  <si>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</si>
  <si>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</si>
  <si>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</si>
  <si>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</si>
  <si>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</si>
  <si>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</si>
  <si>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</si>
  <si>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</si>
  <si>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</si>
  <si>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</si>
  <si>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</si>
  <si>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</si>
  <si>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</si>
  <si>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</si>
  <si>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</si>
  <si>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</si>
  <si>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</si>
  <si>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</si>
  <si>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</si>
  <si>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</si>
  <si>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</si>
  <si>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</si>
  <si>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</si>
  <si>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</si>
  <si>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</si>
  <si>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</si>
  <si>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</si>
  <si>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</si>
  <si>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</si>
  <si>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</si>
  <si>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</si>
  <si>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</si>
  <si>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</si>
  <si>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</si>
  <si>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</si>
  <si>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</si>
  <si>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</si>
  <si>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</si>
  <si>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</si>
  <si>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</si>
  <si>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</si>
  <si>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</si>
  <si>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</si>
  <si>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</si>
  <si>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</si>
  <si>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</si>
  <si>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</si>
  <si>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</si>
  <si>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</si>
  <si>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</si>
  <si>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</si>
  <si>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</si>
  <si>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</si>
  <si>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</si>
  <si>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</si>
  <si>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</si>
  <si>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</si>
  <si>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</si>
  <si>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</si>
  <si>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</si>
  <si>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</si>
  <si>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</si>
  <si>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</si>
  <si>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</si>
  <si>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</si>
  <si>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</si>
  <si>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</si>
  <si>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</si>
  <si>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</si>
  <si>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</si>
  <si>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</si>
  <si>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</si>
  <si>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</si>
  <si>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</si>
  <si>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</si>
  <si>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</si>
  <si>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</si>
  <si>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</si>
  <si>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</si>
  <si>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</si>
  <si>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</si>
  <si>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</si>
  <si>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</si>
  <si>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</si>
  <si>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</si>
  <si>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</si>
  <si>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</si>
  <si>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</si>
  <si>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</si>
  <si>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</si>
  <si>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</si>
  <si>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</si>
  <si>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</si>
  <si>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</si>
  <si>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</si>
  <si>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</si>
  <si>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</si>
  <si>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</si>
  <si>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</si>
  <si>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</si>
  <si>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</si>
  <si>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</si>
  <si>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</si>
  <si>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</si>
  <si>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</si>
  <si>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</si>
  <si>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</si>
  <si>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</si>
  <si>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</si>
  <si>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</si>
  <si>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</si>
  <si>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</si>
  <si>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</si>
  <si>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</si>
  <si>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</si>
  <si>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</si>
  <si>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</si>
  <si>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</si>
  <si>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</si>
  <si>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</si>
  <si>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</si>
  <si>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</si>
  <si>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</si>
  <si>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</si>
  <si>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</si>
  <si>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</si>
  <si>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</si>
  <si>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</si>
  <si>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</si>
  <si>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</si>
  <si>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</si>
  <si>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</si>
  <si>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</si>
  <si>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</si>
  <si>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</si>
  <si>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</si>
  <si>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</si>
  <si>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</si>
  <si>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</si>
  <si>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</si>
  <si>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</si>
  <si>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</si>
  <si>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</si>
  <si>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</si>
  <si>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</si>
  <si>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</si>
  <si>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</si>
  <si>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</si>
  <si>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</si>
  <si>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</si>
  <si>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</si>
  <si>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</si>
  <si>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</si>
  <si>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</si>
  <si>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</si>
  <si>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</si>
  <si>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</si>
  <si>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</si>
  <si>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</si>
  <si>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</si>
  <si>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</si>
  <si>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</si>
  <si>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</si>
  <si>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</si>
  <si>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</si>
  <si>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</si>
  <si>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</si>
  <si>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</si>
  <si>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</si>
  <si>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</si>
  <si>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</si>
  <si>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</si>
  <si>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</si>
  <si>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</si>
  <si>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</si>
  <si>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</si>
  <si>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</si>
  <si>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</si>
  <si>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</si>
  <si>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</si>
  <si>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</si>
  <si>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</si>
  <si>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</si>
  <si>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</si>
  <si>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</si>
  <si>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</si>
  <si>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</si>
  <si>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</si>
  <si>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</si>
  <si>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</si>
  <si>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</si>
  <si>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</si>
  <si>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</si>
  <si>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</si>
  <si>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</si>
  <si>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</si>
  <si>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</si>
  <si>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</si>
  <si>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</si>
  <si>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</si>
  <si>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</si>
  <si>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</si>
  <si>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</si>
  <si>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</si>
  <si>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</si>
  <si>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</si>
  <si>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</si>
  <si>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</si>
  <si>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</si>
  <si>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</si>
  <si>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</si>
  <si>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</si>
  <si>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</si>
  <si>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</si>
  <si>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</si>
  <si>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</si>
  <si>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</si>
  <si>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</si>
  <si>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</si>
  <si>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</si>
  <si>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</si>
  <si>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</si>
  <si>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</si>
  <si>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</si>
  <si>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</si>
  <si>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</si>
  <si>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</si>
  <si>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</si>
  <si>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</si>
  <si>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</si>
  <si>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</si>
  <si>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</si>
  <si>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</si>
  <si>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</si>
  <si>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</si>
  <si>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</si>
  <si>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</si>
  <si>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</si>
  <si>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</si>
  <si>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</si>
  <si>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</si>
  <si>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</si>
  <si>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</si>
  <si>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</si>
  <si>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</si>
  <si>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</si>
  <si>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</si>
  <si>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</si>
  <si>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</si>
  <si>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</si>
  <si>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</si>
  <si>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</si>
  <si>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</si>
  <si>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</si>
  <si>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</si>
  <si>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</si>
  <si>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</si>
  <si>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</si>
  <si>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</si>
  <si>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</si>
  <si>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</si>
  <si>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</si>
  <si>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</si>
  <si>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</si>
  <si>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</si>
  <si>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</si>
  <si>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</si>
  <si>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</si>
  <si>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</si>
  <si>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</si>
  <si>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</si>
  <si>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</si>
  <si>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</si>
  <si>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</si>
  <si>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</si>
  <si>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</si>
  <si>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</si>
  <si>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</si>
  <si>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</si>
  <si>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</si>
  <si>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</si>
  <si>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</si>
  <si>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</si>
  <si>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</si>
  <si>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</si>
  <si>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</si>
  <si>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</si>
  <si>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</si>
  <si>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</si>
  <si>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</si>
  <si>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</si>
  <si>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</si>
  <si>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</si>
  <si>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</si>
  <si>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</si>
  <si>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</si>
  <si>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</si>
  <si>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</si>
  <si>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</si>
  <si>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</si>
  <si>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</si>
  <si>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</si>
  <si>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</si>
  <si>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</si>
  <si>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</si>
  <si>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</si>
  <si>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</si>
  <si>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</si>
  <si>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</si>
  <si>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</si>
  <si>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</si>
  <si>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</si>
  <si>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</si>
  <si>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</si>
  <si>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</si>
  <si>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</si>
  <si>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</si>
  <si>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</si>
  <si>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</si>
  <si>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</si>
  <si>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</si>
  <si>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</si>
  <si>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</si>
  <si>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</si>
  <si>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</si>
  <si>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</si>
  <si>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</si>
  <si>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</si>
  <si>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</si>
  <si>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</si>
  <si>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</si>
  <si>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</si>
  <si>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</si>
  <si>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</si>
  <si>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</si>
  <si>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</si>
  <si>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</si>
  <si>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</si>
  <si>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</si>
  <si>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</si>
  <si>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</si>
  <si>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</si>
  <si>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</si>
  <si>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</si>
  <si>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</si>
  <si>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</si>
  <si>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</si>
  <si>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</si>
  <si>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</si>
  <si>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</si>
  <si>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</si>
  <si>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</si>
  <si>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</si>
  <si>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</si>
  <si>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</si>
  <si>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</si>
  <si>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</si>
  <si>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</si>
  <si>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</si>
  <si>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</si>
  <si>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</si>
  <si>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</si>
  <si>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</si>
  <si>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</si>
  <si>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</si>
  <si>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</si>
  <si>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</si>
  <si>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</si>
  <si>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</si>
  <si>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</si>
  <si>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</si>
  <si>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</si>
  <si>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</si>
  <si>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</si>
  <si>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</si>
  <si>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</si>
  <si>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</si>
  <si>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</si>
  <si>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</si>
  <si>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</si>
  <si>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</si>
  <si>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</si>
  <si>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</si>
  <si>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</si>
  <si>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</si>
  <si>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</si>
  <si>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</si>
  <si>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</si>
  <si>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</si>
  <si>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</si>
  <si>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</si>
  <si>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</si>
  <si>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</si>
  <si>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</si>
  <si>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</si>
  <si>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</si>
  <si>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</si>
  <si>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</si>
  <si>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</si>
  <si>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</si>
  <si>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</si>
  <si>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</si>
  <si>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</si>
  <si>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</si>
  <si>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</si>
  <si>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</si>
  <si>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</si>
  <si>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</si>
  <si>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</si>
  <si>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</si>
  <si>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</si>
  <si>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</si>
  <si>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</si>
  <si>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</si>
  <si>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</si>
  <si>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</si>
  <si>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</si>
  <si>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</si>
  <si>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</si>
  <si>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</si>
  <si>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</si>
  <si>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</si>
  <si>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</si>
  <si>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</si>
  <si>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</si>
  <si>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</si>
  <si>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</si>
  <si>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</si>
  <si>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</si>
  <si>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</si>
  <si>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</si>
  <si>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</si>
  <si>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</si>
  <si>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</si>
  <si>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</si>
  <si>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</si>
  <si>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</si>
  <si>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</si>
  <si>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</si>
  <si>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</si>
  <si>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</si>
  <si>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</si>
  <si>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</si>
  <si>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</si>
  <si>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</si>
  <si>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</si>
  <si>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</si>
  <si>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</si>
  <si>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</si>
  <si>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</si>
  <si>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</si>
  <si>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</si>
  <si>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</si>
  <si>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</si>
  <si>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</si>
  <si>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</si>
  <si>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</si>
  <si>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</si>
  <si>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</si>
  <si>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</si>
  <si>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</si>
  <si>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</si>
  <si>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</si>
  <si>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</si>
  <si>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</si>
  <si>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</si>
  <si>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</si>
  <si>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</si>
  <si>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</si>
  <si>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</si>
  <si>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</si>
  <si>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</si>
  <si>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</si>
  <si>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</si>
  <si>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</si>
  <si>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</si>
  <si>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</si>
  <si>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</si>
  <si>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</si>
  <si>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</si>
  <si>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</si>
  <si>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</si>
  <si>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</si>
  <si>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</si>
  <si>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</si>
  <si>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</si>
  <si>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</si>
  <si>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</si>
  <si>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</si>
  <si>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</si>
  <si>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</si>
  <si>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</si>
  <si>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</si>
  <si>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</si>
  <si>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</si>
  <si>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</si>
  <si>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</si>
  <si>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</si>
  <si>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</si>
  <si>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</si>
  <si>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</si>
  <si>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</si>
  <si>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</si>
  <si>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</si>
  <si>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</si>
  <si>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</si>
  <si>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</si>
  <si>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</si>
  <si>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</si>
  <si>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</si>
  <si>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</si>
  <si>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</si>
  <si>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</si>
  <si>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</si>
  <si>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</si>
  <si>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</si>
  <si>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</si>
  <si>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</si>
  <si>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</si>
  <si>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</si>
  <si>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</si>
  <si>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</si>
  <si>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</si>
  <si>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</si>
  <si>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</si>
  <si>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</si>
  <si>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</si>
  <si>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</si>
  <si>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</si>
  <si>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</si>
  <si>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</si>
  <si>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</si>
  <si>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</si>
  <si>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</si>
  <si>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</si>
  <si>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</si>
  <si>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</si>
  <si>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</si>
  <si>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</si>
  <si>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</si>
  <si>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</si>
  <si>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</si>
  <si>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</si>
  <si>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</si>
  <si>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</si>
  <si>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</si>
  <si>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</si>
  <si>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</si>
  <si>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</si>
  <si>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</si>
  <si>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</si>
  <si>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</si>
  <si>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</si>
  <si>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</si>
  <si>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</si>
  <si>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</si>
  <si>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</si>
  <si>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</si>
  <si>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</si>
  <si>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</si>
  <si>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</si>
  <si>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</si>
  <si>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</si>
  <si>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</si>
  <si>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</si>
  <si>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</si>
  <si>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</si>
  <si>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</si>
  <si>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</si>
  <si>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</si>
  <si>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</si>
  <si>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</si>
  <si>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</si>
  <si>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</si>
  <si>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</si>
  <si>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</si>
  <si>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</si>
  <si>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</si>
  <si>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</si>
  <si>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</si>
  <si>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</si>
  <si>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</si>
  <si>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</si>
  <si>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</si>
  <si>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</si>
  <si>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</si>
  <si>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</si>
  <si>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</si>
  <si>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</si>
  <si>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</si>
  <si>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</si>
  <si>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</si>
  <si>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</si>
  <si>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</si>
  <si>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</si>
  <si>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</si>
  <si>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</si>
  <si>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</si>
  <si>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</si>
  <si>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</si>
  <si>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</si>
  <si>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</si>
  <si>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</si>
  <si>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</si>
  <si>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</si>
  <si>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</si>
  <si>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</si>
  <si>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</si>
  <si>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</si>
  <si>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</si>
  <si>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</si>
  <si>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</si>
  <si>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</si>
  <si>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</si>
  <si>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</si>
  <si>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</si>
  <si>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</si>
  <si>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</si>
  <si>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</si>
  <si>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</si>
  <si>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</si>
  <si>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</si>
  <si>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</si>
  <si>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</si>
  <si>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</si>
  <si>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</si>
  <si>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</si>
  <si>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</si>
  <si>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</si>
  <si>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</si>
  <si>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</si>
  <si>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</si>
  <si>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</si>
  <si>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</si>
  <si>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</si>
  <si>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</si>
  <si>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</si>
  <si>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</si>
  <si>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</si>
  <si>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</si>
  <si>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</si>
  <si>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</si>
  <si>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</si>
  <si>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</si>
  <si>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</si>
  <si>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</si>
  <si>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</si>
  <si>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</si>
  <si>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</si>
  <si>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</si>
  <si>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</si>
  <si>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</si>
  <si>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</si>
  <si>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</si>
  <si>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</si>
  <si>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</si>
  <si>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</si>
  <si>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</si>
  <si>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</si>
  <si>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</si>
  <si>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</si>
  <si>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</si>
  <si>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</si>
  <si>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</si>
  <si>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</si>
  <si>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</si>
  <si>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</si>
  <si>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</si>
  <si>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</si>
  <si>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</si>
  <si>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</si>
  <si>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</si>
  <si>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</si>
  <si>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</si>
  <si>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</si>
  <si>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</si>
  <si>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</si>
  <si>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</si>
  <si>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</si>
  <si>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</si>
  <si>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</si>
  <si>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</si>
  <si>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</si>
  <si>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</si>
  <si>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</si>
  <si>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</si>
  <si>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</si>
  <si>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</si>
  <si>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</si>
  <si>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</si>
  <si>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</si>
  <si>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</si>
  <si>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</si>
  <si>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</si>
  <si>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</si>
  <si>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</si>
  <si>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</si>
  <si>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</si>
  <si>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</si>
  <si>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</si>
  <si>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</si>
  <si>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</si>
  <si>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</si>
  <si>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</si>
  <si>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</si>
  <si>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</si>
  <si>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</si>
  <si>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</si>
  <si>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</si>
  <si>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</si>
  <si>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</si>
  <si>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</si>
  <si>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</si>
  <si>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</si>
  <si>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</si>
  <si>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</si>
  <si>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</si>
  <si>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</si>
  <si>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</si>
  <si>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</si>
  <si>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</si>
  <si>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</si>
  <si>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</si>
  <si>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</si>
  <si>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</si>
  <si>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</si>
  <si>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</si>
  <si>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</si>
  <si>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</si>
  <si>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</si>
  <si>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</si>
  <si>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</si>
  <si>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</si>
  <si>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</si>
  <si>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</si>
  <si>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</si>
  <si>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</si>
  <si>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</si>
  <si>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</si>
  <si>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</si>
  <si>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</si>
  <si>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</si>
  <si>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</si>
  <si>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</si>
  <si>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</si>
  <si>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</si>
  <si>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</si>
  <si>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</si>
  <si>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</si>
  <si>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</si>
  <si>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</si>
  <si>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</si>
  <si>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</si>
  <si>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</si>
  <si>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</si>
  <si>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</si>
  <si>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</si>
  <si>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</si>
  <si>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</si>
  <si>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</si>
  <si>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</si>
  <si>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</si>
  <si>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</si>
  <si>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</si>
  <si>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</si>
  <si>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</si>
  <si>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</si>
  <si>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</si>
  <si>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</si>
  <si>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</si>
  <si>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</si>
  <si>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</si>
  <si>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</si>
  <si>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</si>
  <si>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</si>
  <si>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</si>
  <si>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</si>
  <si>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</si>
  <si>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</si>
  <si>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</si>
  <si>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</si>
  <si>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</si>
  <si>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</si>
  <si>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</si>
  <si>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</si>
  <si>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</si>
  <si>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</si>
  <si>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</si>
  <si>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</si>
  <si>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</si>
  <si>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</si>
  <si>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</si>
  <si>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</si>
  <si>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</si>
  <si>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</si>
  <si>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</si>
  <si>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</si>
  <si>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</si>
  <si>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</si>
  <si>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</si>
  <si>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</si>
  <si>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</si>
  <si>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</si>
  <si>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</si>
  <si>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</si>
  <si>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</si>
  <si>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</si>
  <si>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</si>
  <si>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</si>
  <si>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</si>
  <si>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</si>
  <si>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</si>
  <si>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</si>
  <si>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</si>
  <si>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</si>
  <si>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</si>
  <si>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</si>
  <si>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</si>
  <si>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</si>
  <si>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</si>
  <si>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</si>
  <si>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</si>
  <si>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</si>
  <si>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</si>
  <si>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</si>
  <si>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</si>
  <si>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</si>
  <si>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</si>
  <si>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</si>
  <si>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</si>
  <si>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</si>
  <si>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</si>
  <si>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</si>
  <si>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</si>
  <si>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</si>
  <si>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</si>
  <si>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</si>
  <si>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</si>
  <si>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</si>
  <si>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</si>
  <si>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</si>
  <si>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</si>
  <si>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</si>
  <si>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</si>
  <si>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</si>
  <si>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</si>
  <si>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</si>
  <si>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</si>
  <si>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</si>
  <si>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</si>
  <si>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</si>
  <si>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</si>
  <si>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</si>
  <si>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</si>
  <si>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</si>
  <si>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</si>
  <si>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</si>
  <si>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</si>
  <si>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</si>
  <si>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</si>
  <si>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</si>
  <si>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</si>
  <si>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</si>
  <si>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</si>
  <si>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</si>
  <si>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</si>
  <si>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</si>
  <si>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</si>
  <si>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</si>
  <si>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</si>
  <si>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</si>
  <si>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</si>
  <si>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</si>
  <si>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</si>
  <si>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</si>
  <si>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</si>
  <si>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</si>
  <si>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</si>
  <si>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</si>
  <si>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</si>
  <si>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</si>
  <si>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</si>
  <si>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</si>
  <si>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</si>
  <si>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</si>
  <si>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</si>
  <si>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</si>
  <si>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</si>
  <si>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</si>
  <si>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</si>
  <si>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</si>
  <si>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</si>
  <si>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</si>
  <si>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</si>
  <si>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</si>
  <si>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</si>
  <si>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</si>
  <si>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</si>
  <si>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</si>
  <si>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</si>
  <si>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</si>
  <si>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</si>
  <si>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</si>
  <si>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</si>
  <si>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</si>
  <si>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</si>
  <si>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</si>
  <si>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</si>
  <si>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</si>
  <si>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</si>
  <si>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</si>
  <si>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</si>
  <si>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</si>
  <si>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</si>
  <si>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</si>
  <si>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</si>
  <si>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</si>
  <si>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</si>
  <si>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</si>
  <si>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</si>
  <si>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</si>
  <si>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</si>
  <si>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</si>
  <si>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</si>
  <si>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</si>
  <si>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</si>
  <si>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</si>
  <si>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</si>
  <si>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</si>
  <si>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</si>
  <si>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</si>
  <si>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</si>
  <si>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</si>
  <si>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</si>
  <si>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</si>
  <si>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</si>
  <si>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</si>
  <si>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</si>
  <si>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</si>
  <si>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</si>
  <si>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</si>
  <si>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</si>
  <si>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</si>
  <si>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</si>
  <si>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</si>
  <si>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</si>
  <si>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</si>
  <si>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</si>
  <si>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</si>
  <si>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</si>
  <si>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</si>
  <si>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</si>
  <si>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</si>
  <si>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</si>
  <si>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</si>
  <si>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</si>
  <si>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</si>
  <si>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</si>
  <si>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</si>
  <si>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</si>
  <si>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</si>
  <si>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</si>
  <si>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</si>
  <si>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</si>
  <si>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</si>
  <si>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</si>
  <si>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</si>
  <si>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</si>
  <si>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</si>
  <si>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</si>
  <si>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</si>
  <si>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</si>
  <si>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</si>
  <si>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</si>
  <si>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</si>
  <si>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</si>
  <si>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</si>
  <si>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</si>
  <si>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</si>
  <si>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</si>
  <si>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</si>
  <si>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</si>
  <si>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</si>
  <si>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</si>
  <si>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</si>
  <si>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</si>
  <si>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</si>
  <si>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</si>
  <si>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</si>
  <si>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</si>
  <si>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</si>
  <si>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</si>
  <si>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</si>
  <si>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</si>
  <si>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</si>
  <si>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</si>
  <si>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</si>
  <si>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</si>
  <si>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</si>
  <si>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</si>
  <si>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</si>
  <si>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</si>
  <si>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</si>
  <si>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</si>
  <si>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</si>
  <si>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</si>
  <si>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</si>
  <si>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</si>
  <si>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</si>
  <si>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</si>
  <si>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</si>
  <si>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</si>
  <si>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</si>
  <si>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</si>
  <si>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</si>
  <si>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</si>
  <si>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</si>
  <si>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</si>
  <si>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</si>
  <si>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</si>
  <si>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</si>
  <si>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</si>
  <si>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</si>
  <si>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</si>
  <si>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</si>
  <si>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</si>
  <si>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</si>
  <si>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</si>
  <si>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</si>
  <si>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</si>
  <si>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</si>
  <si>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</si>
  <si>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</si>
  <si>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</si>
  <si>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</si>
  <si>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</si>
  <si>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</si>
  <si>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</si>
  <si>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</si>
  <si>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</si>
  <si>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</si>
  <si>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</si>
  <si>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</si>
  <si>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</si>
  <si>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</si>
  <si>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</si>
  <si>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</si>
  <si>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</si>
  <si>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</si>
  <si>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</si>
  <si>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</si>
  <si>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</si>
  <si>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</si>
  <si>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</si>
  <si>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</si>
  <si>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</si>
  <si>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</si>
  <si>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</si>
  <si>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</si>
  <si>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</si>
  <si>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</si>
  <si>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</si>
  <si>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</si>
  <si>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</si>
  <si>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</si>
  <si>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</si>
  <si>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</si>
  <si>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</si>
  <si>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</si>
  <si>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</si>
  <si>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</si>
  <si>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</si>
  <si>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</si>
  <si>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</si>
  <si>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</si>
  <si>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</si>
  <si>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</si>
  <si>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</si>
  <si>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</si>
  <si>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</si>
  <si>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</si>
  <si>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</si>
  <si>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</si>
  <si>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</si>
  <si>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</si>
  <si>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</si>
  <si>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</si>
  <si>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</si>
  <si>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</si>
  <si>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</si>
  <si>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</si>
  <si>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</si>
  <si>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</si>
  <si>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</si>
  <si>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</si>
  <si>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</si>
  <si>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</si>
  <si>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</si>
  <si>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</si>
  <si>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</si>
  <si>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</si>
  <si>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</si>
  <si>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</si>
  <si>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</si>
  <si>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</si>
  <si>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</si>
  <si>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</si>
  <si>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</si>
  <si>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</si>
  <si>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</si>
  <si>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</si>
  <si>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</si>
  <si>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</si>
  <si>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</si>
  <si>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</si>
  <si>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</si>
  <si>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</si>
  <si>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</si>
  <si>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</si>
  <si>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</si>
  <si>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</si>
  <si>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</si>
  <si>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</si>
  <si>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</si>
  <si>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</si>
  <si>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</si>
  <si>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</si>
  <si>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</si>
  <si>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</si>
  <si>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</si>
  <si>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</si>
  <si>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</si>
  <si>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</si>
  <si>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</si>
  <si>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</si>
  <si>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</si>
  <si>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</si>
  <si>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</si>
  <si>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</si>
  <si>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</si>
  <si>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</si>
  <si>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</si>
  <si>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</si>
  <si>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</si>
  <si>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</si>
  <si>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</si>
  <si>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</si>
  <si>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</si>
  <si>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</si>
  <si>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</si>
  <si>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</si>
  <si>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</si>
  <si>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</si>
  <si>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</si>
  <si>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</si>
  <si>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</si>
  <si>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</si>
  <si>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</si>
  <si>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</si>
  <si>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</si>
  <si>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</si>
  <si>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</si>
  <si>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</si>
  <si>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</si>
  <si>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</si>
  <si>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</si>
  <si>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</si>
  <si>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</si>
  <si>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</si>
  <si>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</si>
  <si>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</si>
  <si>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</si>
  <si>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</si>
  <si>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</si>
  <si>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</si>
  <si>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</si>
  <si>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</si>
  <si>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</si>
  <si>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</si>
  <si>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</si>
  <si>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</si>
  <si>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</si>
  <si>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</si>
  <si>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</si>
  <si>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</si>
  <si>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</si>
  <si>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</si>
  <si>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</si>
  <si>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</si>
  <si>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</si>
  <si>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</si>
  <si>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</si>
  <si>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</si>
  <si>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</si>
  <si>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</si>
  <si>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</si>
  <si>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</si>
  <si>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</si>
  <si>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</si>
  <si>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</si>
  <si>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</si>
  <si>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</si>
  <si>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</si>
  <si>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</si>
  <si>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</si>
  <si>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</si>
  <si>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</si>
  <si>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</si>
  <si>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</si>
  <si>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</si>
  <si>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</si>
  <si>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</si>
  <si>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</si>
  <si>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</si>
  <si>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</si>
  <si>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</si>
  <si>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</si>
  <si>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</si>
  <si>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</si>
  <si>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</si>
  <si>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</si>
  <si>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</si>
  <si>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</si>
  <si>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</si>
  <si>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</si>
  <si>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</si>
  <si>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</si>
  <si>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</si>
  <si>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</si>
  <si>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</si>
  <si>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</si>
  <si>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</si>
  <si>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</si>
  <si>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</si>
  <si>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</si>
  <si>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</si>
  <si>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</si>
  <si>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</si>
  <si>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</si>
  <si>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</si>
  <si>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</si>
  <si>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</si>
  <si>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</si>
  <si>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</si>
  <si>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</si>
  <si>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</si>
  <si>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</si>
  <si>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</si>
  <si>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</si>
  <si>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</si>
  <si>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</si>
  <si>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</si>
  <si>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</si>
  <si>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</si>
  <si>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</si>
  <si>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</si>
  <si>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</si>
  <si>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</si>
  <si>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</si>
  <si>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</si>
  <si>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</si>
  <si>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</si>
  <si>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</si>
  <si>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</si>
  <si>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</si>
  <si>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</si>
  <si>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</si>
  <si>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</si>
  <si>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</si>
  <si>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</si>
  <si>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</si>
  <si>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</si>
  <si>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</si>
  <si>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</si>
  <si>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</si>
  <si>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</si>
  <si>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</si>
  <si>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</si>
  <si>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</si>
  <si>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</si>
  <si>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</si>
  <si>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</si>
  <si>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</si>
  <si>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</si>
  <si>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</si>
  <si>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</si>
  <si>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</si>
  <si>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</si>
  <si>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</si>
  <si>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</si>
  <si>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</si>
  <si>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</si>
  <si>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</si>
  <si>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</si>
  <si>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</si>
  <si>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</si>
  <si>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</si>
  <si>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</si>
  <si>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</si>
  <si>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</si>
  <si>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</si>
  <si>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</si>
  <si>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</si>
  <si>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</si>
  <si>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</si>
  <si>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</si>
  <si>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</si>
  <si>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</si>
  <si>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</si>
  <si>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</si>
  <si>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</si>
  <si>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</si>
  <si>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</si>
  <si>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</si>
  <si>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</si>
  <si>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</si>
  <si>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</si>
  <si>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</si>
  <si>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</si>
  <si>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</si>
  <si>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</si>
  <si>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</si>
  <si>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</si>
  <si>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</si>
  <si>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</si>
  <si>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</si>
  <si>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</si>
  <si>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</si>
  <si>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</si>
  <si>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</si>
  <si>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</si>
  <si>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</si>
  <si>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</si>
  <si>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</si>
  <si>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</si>
  <si>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</si>
  <si>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</si>
  <si>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</si>
  <si>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</si>
  <si>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</si>
  <si>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</si>
  <si>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</si>
  <si>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</si>
  <si>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</si>
  <si>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</si>
  <si>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</si>
  <si>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</si>
  <si>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</si>
  <si>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</si>
  <si>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</si>
  <si>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</si>
  <si>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</si>
  <si>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</si>
  <si>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</si>
  <si>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</si>
  <si>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</si>
  <si>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</si>
  <si>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</si>
  <si>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</si>
  <si>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</si>
  <si>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</si>
  <si>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</si>
  <si>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</si>
  <si>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</si>
  <si>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</si>
  <si>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</si>
  <si>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</si>
  <si>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</si>
  <si>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</si>
  <si>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</si>
  <si>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</si>
  <si>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</si>
  <si>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</si>
  <si>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</si>
  <si>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</si>
  <si>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</si>
  <si>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</si>
  <si>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</si>
  <si>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</si>
  <si>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</si>
  <si>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</si>
  <si>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</si>
  <si>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</si>
  <si>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</si>
  <si>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</si>
  <si>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</si>
  <si>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</si>
  <si>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</si>
  <si>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</si>
  <si>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</si>
  <si>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</si>
  <si>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</si>
  <si>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</si>
  <si>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</si>
  <si>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</si>
  <si>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</si>
  <si>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</si>
  <si>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</si>
  <si>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</si>
  <si>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</si>
  <si>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</si>
  <si>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</si>
  <si>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</si>
  <si>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</si>
  <si>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</si>
  <si>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</si>
  <si>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</si>
  <si>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</si>
  <si>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</si>
  <si>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</si>
  <si>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</si>
  <si>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</si>
  <si>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</si>
  <si>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</si>
  <si>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</si>
  <si>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</si>
  <si>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</si>
  <si>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</si>
  <si>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</si>
  <si>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</si>
  <si>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</si>
  <si>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</si>
  <si>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</si>
  <si>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</si>
  <si>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</si>
  <si>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</si>
  <si>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</si>
  <si>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</si>
  <si>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</si>
  <si>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</si>
  <si>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</si>
  <si>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</si>
  <si>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</si>
  <si>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</si>
  <si>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</si>
  <si>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</si>
  <si>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</si>
  <si>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</si>
  <si>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</si>
  <si>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</si>
  <si>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</si>
  <si>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</si>
  <si>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</si>
  <si>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</si>
  <si>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</si>
  <si>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</si>
  <si>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</si>
  <si>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</si>
  <si>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</si>
  <si>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</si>
  <si>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</si>
  <si>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</si>
  <si>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</si>
  <si>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</si>
  <si>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</si>
  <si>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</si>
  <si>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</si>
  <si>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</si>
  <si>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</si>
  <si>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</si>
  <si>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</si>
  <si>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</si>
  <si>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</si>
  <si>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</si>
  <si>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</si>
  <si>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</si>
  <si>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</si>
  <si>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</si>
  <si>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</si>
  <si>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</si>
  <si>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</si>
  <si>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</si>
  <si>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</si>
  <si>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</si>
  <si>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</si>
  <si>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</si>
  <si>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</si>
  <si>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</si>
  <si>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</si>
  <si>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</si>
  <si>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</si>
  <si>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</si>
  <si>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</si>
  <si>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</si>
  <si>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</si>
  <si>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</si>
  <si>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</si>
  <si>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</si>
  <si>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</si>
  <si>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</si>
  <si>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</si>
  <si>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</si>
  <si>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</si>
  <si>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</si>
  <si>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</si>
  <si>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</si>
  <si>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</si>
  <si>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</si>
  <si>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</si>
  <si>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</si>
  <si>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</si>
  <si>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</si>
  <si>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</si>
  <si>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</si>
  <si>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</si>
  <si>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</si>
  <si>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</si>
  <si>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</si>
  <si>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</si>
  <si>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</si>
  <si>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</si>
  <si>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</si>
  <si>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</si>
  <si>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</si>
  <si>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</si>
  <si>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</si>
  <si>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</si>
  <si>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</si>
  <si>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</si>
  <si>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</si>
  <si>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</si>
  <si>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</si>
  <si>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</si>
  <si>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</si>
  <si>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</si>
  <si>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</si>
  <si>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</si>
  <si>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</si>
  <si>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</si>
  <si>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</si>
  <si>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</si>
  <si>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</si>
  <si>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</si>
  <si>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</si>
  <si>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</si>
  <si>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</si>
  <si>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</si>
  <si>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</si>
  <si>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</si>
  <si>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</si>
  <si>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</si>
  <si>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</si>
  <si>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</si>
  <si>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</si>
  <si>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</si>
  <si>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</si>
  <si>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</si>
  <si>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</si>
  <si>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</si>
  <si>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</si>
  <si>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</si>
  <si>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</si>
  <si>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</si>
  <si>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</si>
  <si>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</si>
  <si>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</si>
  <si>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</si>
  <si>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</si>
  <si>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</si>
  <si>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</si>
  <si>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</si>
  <si>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</si>
  <si>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</si>
  <si>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</si>
  <si>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</si>
  <si>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</si>
  <si>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</si>
  <si>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</si>
  <si>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</si>
  <si>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</si>
  <si>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</si>
  <si>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</si>
  <si>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</si>
  <si>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</si>
  <si>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</si>
  <si>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</si>
  <si>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</si>
  <si>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</si>
  <si>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</si>
  <si>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</si>
  <si>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</si>
  <si>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</si>
  <si>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</si>
  <si>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</si>
  <si>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</si>
  <si>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</si>
  <si>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</si>
  <si>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</si>
  <si>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</si>
  <si>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</si>
  <si>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</si>
  <si>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</si>
  <si>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</si>
  <si>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</si>
  <si>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</si>
  <si>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</si>
  <si>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</si>
  <si>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</si>
  <si>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</si>
  <si>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</si>
  <si>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</si>
  <si>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</si>
  <si>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</si>
  <si>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</si>
  <si>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</si>
  <si>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</si>
  <si>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</si>
  <si>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</si>
  <si>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</si>
  <si>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</si>
  <si>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</si>
  <si>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</si>
  <si>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</si>
  <si>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</si>
  <si>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</si>
  <si>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</si>
  <si>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</si>
  <si>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</si>
  <si>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</si>
  <si>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</si>
  <si>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</si>
  <si>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</si>
  <si>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</si>
  <si>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</si>
  <si>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</si>
  <si>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</si>
  <si>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</si>
  <si>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</si>
  <si>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</si>
  <si>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</si>
  <si>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</si>
  <si>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</si>
  <si>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</si>
  <si>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</si>
  <si>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</si>
  <si>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</si>
  <si>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</si>
  <si>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</si>
  <si>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</si>
  <si>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</si>
  <si>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</si>
  <si>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</si>
  <si>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</si>
  <si>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</si>
  <si>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</si>
  <si>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</si>
  <si>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</si>
  <si>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</si>
  <si>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</si>
  <si>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</si>
  <si>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</si>
  <si>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</si>
  <si>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</si>
  <si>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</si>
  <si>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</si>
  <si>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</si>
  <si>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</si>
  <si>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</si>
  <si>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</si>
  <si>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</si>
  <si>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</si>
  <si>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</si>
  <si>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</si>
  <si>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</si>
  <si>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</si>
  <si>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</si>
  <si>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</si>
  <si>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</si>
  <si>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</si>
  <si>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</si>
  <si>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</si>
  <si>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</si>
  <si>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</si>
  <si>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</si>
  <si>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</si>
  <si>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</si>
  <si>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</si>
  <si>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</si>
  <si>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</si>
  <si>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</si>
  <si>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</si>
  <si>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</si>
  <si>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</si>
  <si>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</si>
  <si>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</si>
  <si>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</si>
  <si>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</si>
  <si>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</si>
  <si>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</si>
  <si>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</si>
  <si>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</si>
  <si>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</si>
  <si>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</si>
  <si>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</si>
  <si>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</si>
  <si>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</si>
  <si>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</si>
  <si>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</si>
  <si>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</si>
  <si>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</si>
  <si>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</si>
  <si>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</si>
  <si>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</si>
  <si>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</si>
  <si>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</si>
  <si>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</si>
  <si>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</si>
  <si>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</si>
  <si>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</si>
  <si>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</si>
  <si>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</si>
  <si>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</si>
  <si>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</si>
  <si>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</si>
  <si>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</si>
  <si>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</si>
  <si>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</si>
  <si>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</si>
  <si>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</si>
  <si>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</si>
  <si>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</si>
  <si>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</si>
  <si>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</si>
  <si>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</si>
  <si>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</si>
  <si>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</si>
  <si>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</si>
  <si>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</si>
  <si>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</si>
  <si>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</si>
  <si>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</si>
  <si>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</si>
  <si>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</si>
  <si>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</si>
  <si>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</si>
  <si>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</si>
  <si>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</si>
  <si>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</si>
  <si>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</si>
  <si>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</si>
  <si>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</si>
  <si>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</si>
  <si>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</si>
  <si>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</si>
  <si>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</si>
  <si>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</si>
  <si>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</si>
  <si>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</si>
  <si>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</si>
  <si>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</si>
  <si>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</si>
  <si>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</si>
  <si>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</si>
  <si>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</si>
  <si>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</si>
  <si>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</si>
  <si>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</si>
  <si>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</si>
  <si>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</si>
  <si>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</si>
  <si>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</si>
  <si>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</si>
  <si>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</si>
  <si>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</si>
  <si>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</si>
  <si>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</si>
  <si>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</si>
  <si>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</si>
  <si>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</si>
  <si>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</si>
  <si>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</si>
  <si>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</si>
  <si>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</si>
  <si>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</si>
  <si>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</si>
  <si>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</si>
  <si>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</si>
  <si>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</si>
  <si>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</si>
  <si>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</si>
  <si>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</si>
  <si>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</si>
  <si>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</si>
  <si>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</si>
  <si>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</si>
  <si>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</si>
  <si>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</si>
  <si>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</si>
  <si>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</si>
  <si>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</si>
  <si>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</si>
  <si>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</si>
  <si>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</si>
  <si>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</si>
  <si>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</si>
  <si>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</si>
  <si>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</si>
  <si>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</si>
  <si>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</si>
  <si>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</si>
  <si>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</si>
  <si>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</si>
  <si>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</si>
  <si>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</si>
  <si>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</si>
  <si>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</si>
  <si>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</si>
  <si>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</si>
  <si>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</si>
  <si>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</si>
  <si>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</si>
  <si>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</si>
  <si>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</si>
  <si>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</si>
  <si>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</si>
  <si>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</si>
  <si>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</si>
  <si>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</si>
  <si>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</si>
  <si>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</si>
  <si>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</si>
  <si>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</si>
  <si>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</si>
  <si>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</si>
  <si>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</si>
  <si>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</si>
  <si>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</si>
  <si>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</si>
  <si>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</si>
  <si>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</si>
  <si>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</si>
  <si>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</si>
  <si>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</si>
  <si>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</si>
  <si>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</si>
  <si>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</si>
  <si>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</si>
  <si>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</si>
  <si>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</si>
  <si>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</si>
  <si>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</si>
  <si>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</si>
  <si>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</si>
  <si>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</si>
  <si>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</si>
  <si>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</si>
  <si>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</si>
  <si>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</si>
  <si>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</si>
  <si>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</si>
  <si>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</si>
  <si>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</si>
  <si>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</si>
  <si>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</si>
  <si>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</si>
  <si>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</si>
  <si>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</si>
  <si>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</si>
  <si>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</si>
  <si>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</si>
  <si>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</si>
  <si>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</si>
  <si>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</si>
  <si>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</si>
  <si>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</si>
  <si>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</si>
  <si>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</si>
  <si>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</si>
  <si>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</si>
  <si>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</si>
  <si>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</si>
  <si>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</si>
  <si>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</si>
  <si>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</si>
  <si>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</si>
  <si>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</si>
  <si>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</si>
  <si>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</si>
  <si>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</si>
  <si>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</si>
  <si>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</si>
  <si>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</si>
  <si>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</si>
  <si>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</si>
  <si>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</si>
  <si>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</si>
  <si>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</si>
  <si>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</si>
  <si>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</si>
  <si>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</si>
  <si>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</si>
  <si>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</si>
  <si>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</si>
  <si>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</si>
  <si>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</si>
  <si>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</si>
  <si>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</si>
  <si>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</si>
  <si>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</si>
  <si>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</si>
  <si>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</si>
  <si>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</si>
  <si>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</si>
  <si>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</si>
  <si>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</si>
  <si>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</si>
  <si>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</si>
  <si>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</si>
  <si>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</si>
  <si>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</si>
  <si>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</si>
  <si>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</si>
  <si>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</si>
  <si>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</si>
  <si>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</si>
  <si>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</si>
  <si>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</si>
  <si>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</si>
  <si>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</si>
  <si>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</si>
  <si>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</si>
  <si>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</si>
  <si>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</si>
  <si>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</si>
  <si>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</si>
  <si>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</si>
  <si>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</si>
  <si>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</si>
  <si>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</si>
  <si>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</si>
  <si>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</si>
  <si>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</si>
  <si>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</si>
  <si>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</si>
  <si>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</si>
  <si>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</si>
  <si>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</si>
  <si>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</si>
  <si>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</si>
  <si>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</si>
  <si>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</si>
  <si>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</si>
  <si>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</si>
  <si>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</si>
  <si>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</si>
  <si>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</si>
  <si>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</si>
  <si>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</si>
  <si>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</si>
  <si>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</si>
  <si>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</si>
  <si>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</si>
  <si>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</si>
  <si>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</si>
  <si>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</si>
  <si>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</si>
  <si>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</si>
  <si>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</si>
  <si>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</si>
  <si>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</si>
  <si>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</si>
  <si>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</si>
  <si>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</si>
  <si>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</si>
  <si>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</si>
  <si>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</si>
  <si>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</si>
  <si>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</si>
  <si>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</si>
  <si>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</si>
  <si>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</si>
  <si>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</si>
  <si>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</si>
  <si>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</si>
  <si>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</si>
  <si>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</si>
  <si>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</si>
  <si>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</si>
  <si>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</si>
  <si>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</si>
  <si>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</si>
  <si>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</si>
  <si>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</si>
  <si>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</si>
  <si>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</si>
  <si>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</si>
  <si>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</si>
  <si>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</si>
  <si>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</si>
  <si>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</si>
  <si>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</si>
  <si>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</si>
  <si>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</si>
  <si>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</si>
  <si>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</si>
  <si>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</si>
  <si>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</si>
  <si>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</si>
  <si>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</si>
  <si>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</si>
  <si>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</si>
  <si>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</si>
  <si>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</si>
  <si>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</si>
  <si>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</si>
  <si>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</si>
  <si>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</si>
  <si>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</si>
  <si>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</si>
  <si>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</si>
  <si>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</si>
  <si>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</si>
  <si>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</si>
  <si>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</si>
  <si>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</si>
  <si>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</si>
  <si>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</si>
  <si>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</si>
  <si>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</si>
  <si>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</si>
  <si>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</si>
  <si>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</si>
  <si>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</si>
  <si>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</si>
  <si>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</si>
  <si>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</si>
  <si>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</si>
  <si>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</si>
  <si>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</si>
  <si>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</si>
  <si>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</si>
  <si>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</si>
  <si>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</si>
  <si>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</si>
  <si>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</si>
  <si>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</si>
  <si>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</si>
  <si>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</si>
  <si>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</si>
  <si>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</si>
  <si>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</si>
  <si>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</si>
  <si>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</si>
  <si>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</si>
  <si>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</si>
  <si>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</si>
  <si>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</si>
  <si>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</si>
  <si>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</si>
  <si>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</si>
  <si>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</si>
  <si>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</si>
  <si>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</si>
  <si>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</si>
  <si>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</si>
  <si>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</si>
  <si>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</si>
  <si>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</si>
  <si>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</si>
  <si>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</si>
  <si>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</si>
  <si>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</si>
  <si>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</si>
  <si>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</si>
  <si>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</si>
  <si>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</si>
  <si>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</si>
  <si>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</si>
  <si>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</si>
  <si>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</si>
  <si>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</si>
  <si>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</si>
  <si>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</si>
  <si>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</si>
  <si>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</si>
  <si>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</si>
  <si>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</si>
  <si>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</si>
  <si>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</si>
  <si>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</si>
  <si>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</si>
  <si>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</si>
  <si>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</si>
  <si>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</si>
  <si>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</si>
  <si>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</si>
  <si>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</si>
  <si>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</si>
  <si>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</si>
  <si>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</si>
  <si>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</si>
  <si>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</si>
  <si>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</si>
  <si>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</si>
  <si>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</si>
  <si>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</si>
  <si>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</si>
  <si>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</si>
  <si>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</si>
  <si>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</si>
  <si>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</si>
  <si>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</si>
  <si>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</si>
  <si>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</si>
  <si>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</si>
  <si>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</si>
  <si>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</si>
  <si>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</si>
  <si>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</si>
  <si>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</si>
  <si>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</si>
  <si>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</si>
  <si>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</si>
  <si>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</si>
  <si>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</si>
  <si>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</si>
  <si>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</si>
  <si>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</si>
  <si>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</si>
  <si>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</si>
  <si>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</si>
  <si>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</si>
  <si>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</si>
  <si>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</si>
  <si>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</si>
  <si>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</si>
  <si>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</si>
  <si>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</si>
  <si>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</si>
  <si>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</si>
  <si>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</si>
  <si>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</si>
  <si>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</si>
  <si>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</si>
  <si>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</si>
  <si>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</si>
  <si>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</si>
  <si>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</si>
  <si>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</si>
  <si>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</si>
  <si>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</si>
  <si>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</si>
  <si>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</si>
  <si>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</si>
  <si>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</si>
  <si>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</si>
  <si>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</si>
  <si>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</si>
  <si>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</si>
  <si>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</si>
  <si>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</si>
  <si>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</si>
  <si>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</si>
  <si>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</si>
  <si>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</si>
  <si>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</si>
  <si>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</si>
  <si>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</si>
  <si>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</si>
  <si>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</si>
  <si>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</si>
  <si>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</si>
  <si>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</si>
  <si>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</si>
  <si>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</si>
  <si>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</si>
  <si>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</si>
  <si>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</si>
  <si>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</si>
  <si>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</si>
  <si>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</si>
  <si>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</si>
  <si>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</si>
  <si>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</si>
  <si>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</si>
  <si>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</si>
  <si>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</si>
  <si>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</si>
  <si>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</si>
  <si>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</si>
  <si>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</si>
  <si>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</si>
  <si>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</si>
  <si>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</si>
  <si>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</si>
  <si>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</si>
  <si>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</si>
  <si>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</si>
  <si>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</si>
  <si>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</si>
  <si>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</si>
  <si>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</si>
  <si>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</si>
  <si>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</si>
  <si>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</si>
  <si>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</si>
  <si>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</si>
  <si>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</si>
  <si>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</si>
  <si>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</si>
  <si>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</si>
  <si>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</si>
  <si>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</si>
  <si>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</si>
  <si>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</si>
  <si>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</si>
  <si>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</si>
  <si>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</si>
  <si>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</si>
  <si>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</si>
  <si>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</si>
  <si>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</si>
  <si>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</si>
  <si>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</si>
  <si>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</si>
  <si>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</si>
  <si>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</si>
  <si>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</si>
  <si>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</si>
  <si>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</si>
  <si>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</si>
  <si>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</si>
  <si>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</si>
  <si>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</si>
  <si>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</si>
  <si>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</si>
  <si>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</si>
  <si>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</si>
  <si>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</si>
  <si>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</si>
  <si>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</si>
  <si>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</si>
  <si>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</si>
  <si>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</si>
  <si>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</si>
  <si>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</si>
  <si>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</si>
  <si>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</si>
  <si>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</si>
  <si>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</si>
  <si>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</si>
  <si>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</si>
  <si>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</si>
  <si>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</si>
  <si>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</si>
  <si>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</si>
  <si>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</si>
  <si>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</si>
  <si>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</si>
  <si>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</si>
  <si>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</si>
  <si>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</si>
  <si>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</si>
  <si>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</si>
  <si>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</si>
  <si>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</si>
  <si>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</si>
  <si>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</si>
  <si>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</si>
  <si>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</si>
  <si>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</si>
  <si>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</si>
  <si>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</si>
  <si>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</si>
  <si>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</si>
  <si>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</si>
  <si>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</si>
  <si>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</si>
  <si>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</si>
  <si>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</si>
  <si>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</si>
  <si>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</si>
  <si>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</si>
  <si>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</si>
  <si>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</si>
  <si>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</si>
  <si>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</si>
  <si>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</si>
  <si>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</si>
  <si>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</si>
  <si>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</si>
  <si>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</si>
  <si>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</si>
  <si>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</si>
  <si>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</si>
  <si>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</si>
  <si>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</si>
  <si>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</si>
  <si>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</si>
  <si>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</si>
  <si>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</si>
  <si>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</si>
  <si>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</si>
  <si>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</si>
  <si>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</si>
  <si>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</si>
  <si>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</si>
  <si>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</si>
  <si>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</si>
  <si>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</si>
  <si>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</si>
  <si>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</si>
  <si>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</si>
  <si>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</si>
  <si>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</si>
  <si>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</si>
  <si>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</si>
  <si>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</si>
  <si>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</si>
  <si>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</si>
  <si>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</si>
  <si>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</si>
  <si>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</si>
  <si>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</si>
  <si>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</si>
  <si>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</si>
  <si>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</si>
  <si>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</si>
  <si>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</si>
  <si>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</si>
  <si>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</si>
  <si>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</si>
  <si>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</si>
  <si>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</si>
  <si>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</si>
  <si>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</si>
  <si>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</si>
  <si>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</si>
  <si>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</si>
  <si>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</si>
  <si>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</si>
  <si>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</si>
  <si>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</si>
  <si>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</si>
  <si>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</si>
  <si>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</si>
  <si>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</si>
  <si>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</si>
  <si>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</si>
  <si>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</si>
  <si>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</si>
  <si>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</si>
  <si>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</si>
  <si>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</si>
  <si>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</si>
  <si>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</si>
  <si>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</si>
  <si>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</si>
  <si>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</si>
  <si>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</si>
  <si>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</si>
  <si>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</si>
  <si>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</si>
  <si>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</si>
  <si>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</si>
  <si>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</si>
  <si>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</si>
  <si>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</si>
  <si>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</si>
  <si>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</si>
  <si>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</si>
  <si>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</si>
  <si>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</si>
  <si>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</si>
  <si>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</si>
  <si>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</si>
  <si>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</si>
  <si>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</si>
  <si>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</si>
  <si>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</si>
  <si>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</si>
  <si>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</si>
  <si>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</si>
  <si>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</si>
  <si>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</si>
  <si>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</si>
  <si>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</si>
  <si>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</si>
  <si>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</si>
  <si>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</si>
  <si>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</si>
  <si>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</si>
  <si>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</si>
  <si>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</si>
  <si>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</si>
  <si>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</si>
  <si>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</si>
  <si>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</si>
  <si>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</si>
  <si>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</si>
  <si>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</si>
  <si>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</si>
  <si>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</si>
  <si>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</si>
  <si>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</si>
  <si>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</si>
  <si>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</si>
  <si>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</si>
  <si>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</si>
  <si>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</si>
  <si>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</si>
  <si>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</si>
  <si>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</si>
  <si>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</si>
  <si>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</si>
  <si>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</si>
  <si>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</si>
  <si>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</si>
  <si>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</si>
  <si>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</si>
  <si>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</si>
  <si>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</si>
  <si>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</si>
  <si>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</si>
  <si>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</si>
  <si>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</si>
  <si>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</si>
  <si>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</si>
  <si>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</si>
  <si>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</si>
  <si>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</si>
  <si>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</si>
  <si>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</si>
  <si>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</si>
  <si>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</si>
  <si>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</si>
  <si>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</si>
  <si>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</si>
  <si>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</si>
  <si>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</si>
  <si>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</si>
  <si>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</si>
  <si>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</si>
  <si>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</si>
  <si>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</si>
  <si>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</si>
  <si>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</si>
  <si>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</si>
  <si>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</si>
  <si>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</si>
  <si>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</si>
  <si>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</si>
  <si>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</si>
  <si>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</si>
  <si>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</si>
  <si>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</si>
  <si>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</si>
  <si>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</si>
  <si>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</si>
  <si>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</si>
  <si>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</si>
  <si>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</si>
  <si>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</si>
  <si>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</si>
  <si>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</si>
  <si>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</si>
  <si>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</si>
  <si>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</si>
  <si>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</si>
  <si>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</si>
  <si>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</si>
  <si>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</si>
  <si>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</si>
  <si>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</si>
  <si>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</si>
  <si>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</si>
  <si>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</si>
  <si>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</si>
  <si>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</si>
  <si>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</si>
  <si>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</si>
  <si>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</si>
  <si>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</si>
  <si>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</si>
  <si>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</si>
  <si>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</si>
  <si>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</si>
  <si>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</si>
  <si>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</si>
  <si>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</si>
  <si>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</si>
  <si>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</si>
  <si>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</si>
  <si>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</si>
  <si>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</si>
  <si>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</si>
  <si>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</si>
  <si>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</si>
  <si>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</si>
  <si>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</si>
  <si>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</si>
  <si>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</si>
  <si>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</si>
  <si>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</si>
  <si>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</si>
  <si>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</si>
  <si>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</si>
  <si>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</si>
  <si>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</si>
  <si>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</si>
  <si>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</si>
  <si>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</si>
  <si>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</si>
  <si>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</si>
  <si>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</si>
  <si>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</si>
  <si>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</si>
  <si>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</si>
  <si>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</si>
  <si>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</si>
  <si>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</si>
  <si>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</si>
  <si>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</si>
  <si>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</si>
  <si>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</si>
  <si>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</si>
  <si>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</si>
  <si>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</si>
  <si>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</si>
  <si>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</si>
  <si>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</si>
  <si>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</si>
  <si>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</si>
  <si>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</si>
  <si>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</si>
  <si>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</si>
  <si>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</si>
  <si>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</si>
  <si>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</si>
  <si>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</si>
  <si>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</si>
  <si>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</si>
  <si>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</si>
  <si>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</si>
  <si>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</si>
  <si>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</si>
  <si>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</si>
  <si>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</si>
  <si>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</si>
  <si>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</si>
  <si>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</si>
  <si>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</si>
  <si>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</si>
  <si>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</si>
  <si>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</si>
  <si>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</si>
  <si>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</si>
  <si>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</si>
  <si>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</si>
  <si>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</si>
  <si>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</si>
  <si>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</si>
  <si>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</si>
  <si>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</si>
  <si>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</si>
  <si>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</si>
  <si>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</si>
  <si>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</si>
  <si>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</si>
  <si>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</si>
  <si>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</si>
  <si>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</si>
  <si>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</si>
  <si>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</si>
  <si>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</si>
  <si>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</si>
  <si>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</si>
  <si>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</si>
  <si>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</si>
  <si>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</si>
  <si>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</si>
  <si>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</si>
  <si>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</si>
  <si>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</si>
  <si>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</si>
  <si>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</si>
  <si>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</si>
  <si>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</si>
  <si>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</si>
  <si>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</si>
  <si>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</si>
  <si>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</si>
  <si>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</si>
  <si>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</si>
  <si>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</si>
  <si>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</si>
  <si>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</si>
  <si>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</si>
  <si>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</si>
  <si>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</si>
  <si>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</si>
  <si>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</si>
  <si>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</si>
  <si>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</si>
  <si>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</si>
  <si>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</si>
  <si>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</si>
  <si>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</si>
  <si>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</si>
  <si>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</si>
  <si>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</si>
  <si>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</si>
  <si>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</si>
  <si>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</si>
  <si>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</si>
  <si>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</si>
  <si>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</si>
  <si>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</si>
  <si>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</si>
  <si>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</si>
  <si>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</si>
  <si>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</si>
  <si>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</si>
  <si>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</si>
  <si>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</si>
  <si>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</si>
  <si>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</si>
  <si>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</si>
  <si>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</si>
  <si>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</si>
  <si>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</si>
  <si>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</si>
  <si>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</si>
  <si>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</si>
  <si>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</si>
  <si>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</si>
  <si>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</si>
  <si>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</si>
  <si>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</si>
  <si>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</si>
  <si>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</si>
  <si>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</si>
  <si>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</si>
  <si>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</si>
  <si>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</si>
  <si>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</si>
  <si>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</si>
  <si>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</si>
  <si>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</si>
  <si>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</si>
  <si>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</si>
  <si>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</si>
  <si>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</si>
  <si>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</si>
  <si>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</si>
  <si>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</si>
  <si>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</si>
  <si>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</si>
  <si>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</si>
  <si>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</si>
  <si>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</si>
  <si>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</si>
  <si>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</si>
  <si>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</si>
  <si>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</si>
  <si>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</si>
  <si>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</si>
  <si>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</si>
  <si>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</si>
  <si>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</si>
  <si>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</si>
  <si>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</si>
  <si>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</si>
  <si>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</si>
  <si>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</si>
  <si>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</si>
  <si>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</si>
  <si>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</si>
  <si>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</si>
  <si>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</si>
  <si>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</si>
  <si>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</si>
  <si>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</si>
  <si>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</si>
  <si>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</si>
  <si>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</si>
  <si>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</si>
  <si>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</si>
  <si>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</si>
  <si>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</si>
  <si>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</si>
  <si>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</si>
  <si>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</si>
  <si>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</si>
  <si>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</si>
  <si>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</si>
  <si>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</si>
  <si>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</si>
  <si>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</si>
  <si>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</si>
  <si>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</si>
  <si>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</si>
  <si>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</si>
  <si>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</si>
  <si>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</si>
  <si>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</si>
  <si>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</si>
  <si>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</si>
  <si>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</si>
  <si>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</si>
  <si>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</si>
  <si>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</si>
  <si>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</si>
  <si>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</si>
  <si>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</si>
  <si>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</si>
  <si>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</si>
  <si>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</si>
  <si>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</si>
  <si>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</si>
  <si>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</si>
  <si>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</si>
  <si>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</si>
  <si>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</si>
  <si>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</si>
  <si>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</si>
  <si>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</si>
  <si>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</si>
  <si>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</si>
  <si>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</si>
  <si>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</si>
  <si>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</si>
  <si>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</si>
  <si>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</si>
  <si>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</si>
  <si>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</si>
  <si>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</si>
  <si>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</si>
  <si>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</si>
  <si>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</si>
  <si>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</si>
  <si>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</si>
  <si>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</si>
  <si>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</si>
  <si>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</si>
  <si>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</si>
  <si>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</si>
  <si>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</si>
  <si>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</si>
  <si>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</si>
  <si>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</si>
  <si>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</si>
  <si>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</si>
  <si>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</si>
  <si>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</si>
  <si>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</si>
  <si>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</si>
  <si>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</si>
  <si>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</si>
  <si>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</si>
  <si>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</si>
  <si>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</si>
  <si>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</si>
  <si>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</si>
  <si>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</si>
  <si>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</si>
  <si>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</si>
  <si>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</si>
  <si>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</si>
  <si>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</si>
  <si>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</si>
  <si>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</si>
  <si>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</si>
  <si>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</si>
  <si>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</si>
  <si>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</si>
  <si>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</si>
  <si>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</si>
  <si>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</si>
  <si>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</si>
  <si>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</si>
  <si>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</si>
  <si>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</si>
  <si>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</si>
  <si>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</si>
  <si>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</si>
  <si>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</si>
  <si>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</si>
  <si>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</si>
  <si>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</si>
  <si>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</si>
  <si>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</si>
  <si>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</si>
  <si>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</si>
  <si>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</si>
  <si>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</si>
  <si>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</si>
  <si>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</si>
  <si>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</si>
  <si>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</si>
  <si>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</si>
  <si>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</si>
  <si>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</si>
  <si>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</si>
  <si>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</si>
  <si>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</si>
  <si>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</si>
  <si>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</si>
  <si>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</si>
  <si>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</si>
  <si>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</si>
  <si>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</si>
  <si>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</si>
  <si>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</si>
  <si>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</si>
  <si>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</si>
  <si>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</si>
  <si>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</si>
  <si>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</si>
  <si>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</si>
  <si>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</si>
  <si>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</si>
  <si>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</si>
  <si>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</si>
  <si>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</si>
  <si>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</si>
  <si>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</si>
  <si>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</si>
  <si>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</si>
  <si>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</si>
  <si>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</si>
  <si>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</si>
  <si>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</si>
  <si>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</si>
  <si>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</si>
  <si>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</si>
  <si>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</si>
  <si>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</si>
  <si>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</si>
  <si>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</si>
  <si>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</si>
  <si>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</si>
  <si>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</si>
  <si>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</si>
  <si>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</si>
  <si>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</si>
  <si>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</si>
  <si>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</si>
  <si>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</si>
  <si>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</si>
  <si>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</si>
  <si>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</si>
  <si>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</si>
  <si>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</si>
  <si>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</si>
  <si>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</si>
  <si>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</si>
  <si>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</si>
  <si>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</si>
  <si>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</si>
  <si>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</si>
  <si>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</si>
  <si>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</si>
  <si>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</si>
  <si>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</si>
  <si>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</si>
  <si>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</si>
  <si>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</si>
  <si>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</si>
  <si>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</si>
  <si>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</si>
  <si>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</si>
  <si>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</si>
  <si>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</si>
  <si>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</si>
  <si>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</si>
  <si>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</si>
  <si>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</si>
  <si>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</si>
  <si>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</si>
  <si>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</si>
  <si>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</si>
  <si>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</si>
  <si>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</si>
  <si>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</si>
  <si>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</si>
  <si>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</si>
  <si>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</si>
  <si>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</si>
  <si>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</si>
  <si>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</si>
  <si>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</si>
  <si>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</si>
  <si>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</si>
  <si>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</si>
  <si>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</si>
  <si>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</si>
  <si>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</si>
  <si>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</si>
  <si>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</si>
  <si>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</si>
  <si>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</si>
  <si>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</si>
  <si>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</si>
  <si>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</si>
  <si>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</si>
  <si>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</si>
  <si>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</si>
  <si>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</si>
  <si>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</si>
  <si>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</si>
  <si>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</si>
  <si>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</si>
  <si>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</si>
  <si>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</si>
  <si>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</si>
  <si>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</si>
  <si>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</si>
  <si>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</si>
  <si>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</si>
  <si>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</si>
  <si>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</si>
  <si>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</si>
  <si>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</si>
  <si>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</si>
  <si>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</si>
  <si>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</si>
  <si>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</si>
  <si>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</si>
  <si>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</si>
  <si>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</si>
  <si>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</si>
  <si>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</si>
  <si>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</si>
  <si>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</si>
  <si>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</si>
  <si>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</si>
  <si>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</si>
  <si>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</si>
  <si>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</si>
  <si>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</si>
  <si>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</si>
  <si>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</si>
  <si>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</si>
  <si>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</si>
  <si>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</si>
  <si>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</si>
  <si>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</si>
  <si>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</si>
  <si>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</si>
  <si>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</si>
  <si>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</si>
  <si>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</si>
  <si>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</si>
  <si>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</si>
  <si>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</si>
  <si>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</si>
  <si>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</si>
  <si>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</si>
  <si>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</si>
  <si>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</si>
  <si>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</si>
  <si>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</si>
  <si>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</si>
  <si>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</si>
  <si>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</si>
  <si>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</si>
  <si>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</si>
  <si>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</si>
  <si>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</si>
  <si>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</si>
  <si>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</si>
  <si>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</si>
  <si>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</si>
  <si>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</si>
  <si>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</si>
  <si>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</si>
  <si>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</si>
  <si>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</si>
  <si>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</si>
  <si>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</si>
  <si>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</si>
  <si>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</si>
  <si>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</si>
  <si>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</si>
  <si>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</si>
  <si>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</si>
  <si>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</si>
  <si>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</si>
  <si>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</si>
  <si>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</si>
  <si>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</si>
  <si>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</si>
  <si>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</si>
  <si>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</si>
  <si>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</si>
  <si>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</si>
  <si>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</si>
  <si>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</si>
  <si>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</si>
  <si>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</si>
  <si>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</si>
  <si>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</si>
  <si>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</si>
  <si>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</si>
  <si>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</si>
  <si>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</si>
  <si>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</si>
  <si>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</si>
  <si>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</si>
  <si>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</si>
  <si>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</si>
  <si>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</si>
  <si>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</si>
  <si>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</si>
  <si>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</si>
  <si>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</si>
  <si>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</si>
  <si>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</si>
  <si>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</si>
  <si>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</si>
  <si>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</si>
  <si>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</si>
  <si>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</si>
  <si>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</si>
  <si>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</si>
  <si>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</si>
  <si>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</si>
  <si>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</si>
  <si>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</si>
  <si>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</si>
  <si>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</si>
  <si>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</si>
  <si>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</si>
  <si>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</si>
  <si>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</si>
  <si>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</si>
  <si>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</si>
  <si>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</si>
  <si>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</si>
  <si>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</si>
  <si>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</si>
  <si>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</si>
  <si>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</si>
  <si>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</si>
  <si>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</si>
  <si>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</si>
  <si>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</si>
  <si>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</si>
  <si>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</si>
  <si>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</si>
  <si>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</si>
  <si>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</si>
  <si>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</si>
  <si>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</si>
  <si>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</si>
  <si>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</si>
  <si>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</si>
  <si>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</si>
  <si>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</si>
  <si>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</si>
  <si>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</si>
  <si>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</si>
  <si>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</si>
  <si>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</si>
  <si>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</si>
  <si>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</si>
  <si>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</si>
  <si>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</si>
  <si>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</si>
  <si>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</si>
  <si>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</si>
  <si>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</si>
  <si>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</si>
  <si>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</si>
  <si>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</si>
  <si>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</si>
  <si>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</si>
  <si>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</si>
  <si>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</si>
  <si>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</si>
  <si>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</si>
  <si>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</si>
  <si>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</si>
  <si>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</si>
  <si>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</si>
  <si>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</si>
  <si>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</si>
  <si>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</si>
  <si>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</si>
  <si>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</si>
  <si>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</si>
  <si>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</si>
  <si>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</si>
  <si>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</si>
  <si>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</si>
  <si>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</si>
  <si>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</si>
  <si>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</si>
  <si>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</si>
  <si>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</si>
  <si>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</si>
  <si>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</si>
  <si>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</si>
  <si>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</si>
  <si>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</si>
  <si>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</si>
  <si>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</si>
  <si>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</si>
  <si>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</si>
  <si>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</si>
  <si>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</si>
  <si>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</si>
  <si>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</si>
  <si>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</si>
  <si>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</si>
  <si>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</si>
  <si>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</si>
  <si>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</si>
  <si>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</si>
  <si>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</si>
  <si>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</si>
  <si>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</si>
  <si>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</si>
  <si>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</si>
  <si>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</si>
  <si>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</si>
  <si>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</si>
  <si>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</si>
  <si>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</si>
  <si>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</si>
  <si>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</si>
  <si>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</si>
  <si>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</si>
  <si>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</si>
  <si>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</si>
  <si>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</si>
  <si>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</si>
  <si>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</si>
  <si>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</si>
  <si>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</si>
  <si>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</si>
  <si>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</si>
  <si>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</si>
  <si>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</si>
  <si>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</si>
  <si>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</si>
  <si>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</si>
  <si>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</si>
  <si>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</si>
  <si>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</si>
  <si>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</si>
  <si>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</si>
  <si>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</si>
  <si>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</si>
  <si>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</si>
  <si>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</si>
  <si>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</si>
  <si>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</si>
  <si>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</si>
  <si>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</si>
  <si>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</si>
  <si>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</si>
  <si>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</si>
  <si>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</si>
  <si>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</si>
  <si>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</si>
  <si>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</si>
  <si>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</si>
  <si>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</si>
  <si>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</si>
  <si>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</si>
  <si>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</si>
  <si>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</si>
  <si>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</si>
  <si>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</si>
  <si>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</si>
  <si>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</si>
  <si>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</si>
  <si>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</si>
  <si>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</si>
  <si>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</si>
  <si>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</si>
  <si>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</si>
  <si>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</si>
  <si>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</si>
  <si>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</si>
  <si>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</si>
  <si>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</si>
  <si>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</si>
  <si>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</si>
  <si>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</si>
  <si>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</si>
  <si>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</si>
  <si>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</si>
  <si>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</si>
  <si>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</si>
  <si>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</si>
  <si>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</si>
  <si>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</si>
  <si>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</si>
  <si>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</si>
  <si>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</si>
  <si>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</si>
  <si>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</si>
  <si>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</si>
  <si>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</si>
  <si>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</si>
  <si>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</si>
  <si>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</si>
  <si>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</si>
  <si>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</si>
  <si>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</si>
  <si>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</si>
  <si>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</si>
  <si>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</si>
  <si>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</si>
  <si>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</si>
  <si>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</si>
  <si>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</si>
  <si>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</si>
  <si>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</si>
  <si>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</si>
  <si>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</si>
  <si>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</si>
  <si>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</si>
  <si>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</si>
  <si>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</si>
  <si>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</si>
  <si>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</si>
  <si>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</si>
  <si>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</si>
  <si>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</si>
  <si>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</si>
  <si>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</si>
  <si>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</si>
  <si>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</si>
  <si>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</si>
  <si>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</si>
  <si>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</si>
  <si>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</si>
  <si>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</si>
  <si>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</si>
  <si>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</si>
  <si>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</si>
  <si>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</si>
  <si>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</si>
  <si>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</si>
  <si>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</si>
  <si>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</si>
  <si>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</si>
  <si>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</si>
  <si>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</si>
  <si>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</si>
  <si>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</si>
  <si>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</si>
  <si>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</si>
  <si>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</si>
  <si>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</si>
  <si>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</si>
  <si>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</si>
  <si>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</si>
  <si>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</si>
  <si>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</si>
  <si>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</si>
  <si>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</si>
  <si>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</si>
  <si>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</si>
  <si>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</si>
  <si>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</si>
  <si>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</si>
  <si>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</si>
  <si>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</si>
  <si>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</si>
  <si>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</si>
  <si>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</si>
  <si>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</si>
  <si>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</si>
  <si>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</si>
  <si>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</si>
  <si>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</si>
  <si>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</si>
  <si>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</si>
  <si>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</si>
  <si>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</si>
  <si>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</si>
  <si>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</si>
  <si>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</si>
  <si>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</si>
  <si>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</si>
  <si>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</si>
  <si>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</si>
  <si>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</si>
  <si>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</si>
  <si>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</si>
  <si>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</si>
  <si>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</si>
  <si>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</si>
  <si>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</si>
  <si>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</si>
  <si>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</si>
  <si>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</si>
  <si>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</si>
  <si>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</si>
  <si>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</si>
  <si>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</si>
  <si>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</si>
  <si>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</si>
  <si>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</si>
  <si>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</si>
  <si>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</si>
  <si>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</si>
  <si>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</si>
  <si>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</si>
  <si>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</si>
  <si>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</si>
  <si>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</si>
  <si>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</si>
  <si>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</si>
  <si>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</si>
  <si>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</si>
  <si>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</si>
  <si>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</si>
  <si>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</si>
  <si>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</si>
  <si>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</si>
  <si>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</si>
  <si>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</si>
  <si>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</si>
  <si>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</si>
  <si>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</si>
  <si>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</si>
  <si>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</si>
  <si>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</si>
  <si>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</si>
  <si>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</si>
  <si>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</si>
  <si>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</si>
  <si>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</si>
  <si>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</si>
  <si>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</si>
  <si>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</si>
  <si>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</si>
  <si>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</si>
  <si>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</si>
  <si>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</si>
  <si>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</si>
  <si>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</si>
  <si>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</si>
  <si>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</si>
  <si>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</si>
  <si>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</si>
  <si>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</si>
  <si>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</si>
  <si>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</si>
  <si>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</si>
  <si>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</si>
  <si>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</si>
  <si>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</si>
  <si>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</si>
  <si>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</si>
  <si>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</si>
  <si>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</si>
  <si>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</si>
  <si>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</si>
  <si>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</si>
  <si>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</si>
  <si>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</si>
  <si>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</si>
  <si>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</si>
  <si>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</si>
  <si>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</si>
  <si>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</si>
  <si>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</si>
  <si>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</si>
  <si>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</si>
  <si>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</si>
  <si>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</si>
  <si>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</si>
  <si>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</si>
  <si>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</si>
  <si>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</si>
  <si>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</si>
  <si>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</si>
  <si>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</si>
  <si>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</si>
  <si>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</si>
  <si>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</si>
  <si>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</si>
  <si>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</si>
  <si>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</si>
  <si>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</si>
  <si>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</si>
  <si>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</si>
  <si>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</si>
  <si>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</si>
  <si>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</si>
  <si>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</si>
  <si>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</si>
  <si>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</si>
  <si>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</si>
  <si>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</si>
  <si>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</si>
  <si>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</si>
  <si>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</si>
  <si>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</si>
  <si>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</si>
  <si>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</si>
  <si>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</si>
  <si>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</si>
  <si>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</si>
  <si>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</si>
  <si>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</si>
  <si>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</si>
  <si>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</si>
  <si>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</si>
  <si>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</si>
  <si>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</si>
  <si>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</si>
  <si>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</si>
  <si>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</si>
  <si>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</si>
  <si>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</si>
  <si>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</si>
  <si>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</si>
  <si>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</si>
  <si>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</si>
  <si>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</si>
  <si>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</si>
  <si>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</si>
  <si>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</si>
  <si>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</si>
  <si>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</si>
  <si>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</si>
  <si>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</si>
  <si>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</si>
  <si>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</si>
  <si>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</si>
  <si>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</si>
  <si>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</si>
  <si>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</si>
  <si>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</si>
  <si>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</si>
  <si>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</si>
  <si>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</si>
  <si>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</si>
  <si>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</si>
  <si>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</si>
  <si>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</si>
  <si>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</si>
  <si>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</si>
  <si>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</si>
  <si>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</si>
  <si>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</si>
  <si>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</si>
  <si>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</si>
  <si>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</si>
  <si>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</si>
  <si>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</si>
  <si>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</si>
  <si>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</si>
  <si>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</si>
  <si>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</si>
  <si>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</si>
  <si>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</si>
  <si>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</si>
  <si>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</si>
  <si>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</si>
  <si>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</si>
  <si>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</si>
  <si>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</si>
  <si>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</si>
  <si>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</si>
  <si>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</si>
  <si>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</si>
  <si>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</si>
  <si>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</si>
  <si>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</si>
  <si>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</si>
  <si>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</si>
  <si>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</si>
  <si>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</si>
  <si>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</si>
  <si>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</si>
  <si>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</si>
  <si>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</si>
  <si>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</si>
  <si>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</si>
  <si>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</si>
  <si>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</si>
  <si>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</si>
  <si>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</si>
  <si>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</si>
  <si>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</si>
  <si>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</si>
  <si>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</si>
  <si>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</si>
  <si>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</si>
  <si>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</si>
  <si>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</si>
  <si>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</si>
  <si>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</si>
  <si>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</si>
  <si>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</si>
  <si>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</si>
  <si>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</si>
  <si>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</si>
  <si>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</si>
  <si>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</si>
  <si>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</si>
  <si>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</si>
  <si>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</si>
  <si>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</si>
  <si>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</si>
  <si>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</si>
  <si>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</si>
  <si>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</si>
  <si>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</si>
  <si>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</si>
  <si>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</si>
  <si>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</si>
  <si>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</si>
  <si>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</si>
  <si>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</si>
  <si>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</si>
  <si>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</si>
  <si>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</si>
  <si>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</si>
  <si>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</si>
  <si>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</si>
  <si>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</si>
  <si>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</si>
  <si>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</si>
  <si>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</si>
  <si>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</si>
  <si>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</si>
  <si>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</si>
  <si>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</si>
  <si>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</si>
  <si>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</si>
  <si>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</si>
  <si>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</si>
  <si>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</si>
  <si>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</si>
  <si>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</si>
  <si>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</si>
  <si>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</si>
  <si>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</si>
  <si>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</si>
  <si>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</si>
  <si>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</si>
  <si>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</si>
  <si>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</si>
  <si>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</si>
  <si>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</si>
  <si>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</si>
  <si>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</si>
  <si>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</si>
  <si>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</si>
  <si>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</si>
  <si>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</si>
  <si>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</si>
  <si>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</si>
  <si>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</si>
  <si>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</si>
  <si>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</si>
  <si>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</si>
  <si>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</si>
  <si>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</si>
  <si>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</si>
  <si>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</si>
  <si>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</si>
  <si>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</si>
  <si>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</si>
  <si>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</si>
  <si>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</si>
  <si>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</si>
  <si>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</si>
  <si>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</si>
  <si>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</si>
  <si>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</si>
  <si>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</si>
  <si>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</si>
  <si>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</si>
  <si>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</si>
  <si>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</si>
  <si>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</si>
  <si>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</si>
  <si>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</si>
  <si>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</si>
  <si>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</si>
  <si>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</si>
  <si>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</si>
  <si>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</si>
  <si>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</si>
  <si>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</si>
  <si>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</si>
  <si>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</si>
  <si>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</si>
  <si>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</si>
  <si>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</si>
  <si>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</si>
  <si>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</si>
  <si>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</si>
  <si>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</si>
  <si>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</si>
  <si>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</si>
  <si>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</si>
  <si>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</si>
  <si>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</si>
  <si>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</si>
  <si>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</si>
  <si>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</si>
  <si>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</si>
  <si>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</si>
  <si>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</si>
  <si>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</si>
  <si>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</si>
  <si>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</si>
  <si>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</si>
  <si>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</si>
  <si>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</si>
  <si>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</si>
  <si>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</si>
  <si>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</si>
  <si>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</si>
  <si>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</si>
  <si>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</si>
  <si>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</si>
  <si>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</si>
  <si>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</si>
  <si>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</si>
  <si>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</si>
  <si>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</si>
  <si>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</si>
  <si>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</si>
  <si>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</si>
  <si>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</si>
  <si>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</si>
  <si>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</si>
  <si>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</si>
  <si>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</si>
  <si>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</si>
  <si>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</si>
  <si>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</si>
  <si>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</si>
  <si>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</si>
  <si>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</si>
  <si>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</si>
  <si>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</si>
  <si>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</si>
  <si>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</si>
  <si>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</si>
  <si>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</si>
  <si>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</si>
  <si>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</si>
  <si>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</si>
  <si>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</si>
  <si>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</si>
  <si>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</si>
  <si>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</si>
  <si>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</si>
  <si>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</si>
  <si>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</si>
  <si>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</si>
  <si>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</si>
  <si>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</si>
  <si>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</si>
  <si>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</si>
  <si>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</si>
  <si>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</si>
  <si>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</si>
  <si>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</si>
  <si>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</si>
  <si>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</si>
  <si>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</si>
  <si>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</si>
  <si>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</si>
  <si>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</si>
  <si>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</si>
  <si>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</si>
  <si>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</si>
  <si>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</si>
  <si>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</si>
  <si>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</si>
  <si>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</si>
  <si>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</si>
  <si>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</si>
  <si>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</si>
  <si>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</si>
  <si>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</si>
  <si>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</si>
  <si>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</si>
  <si>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</si>
  <si>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</si>
  <si>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</si>
  <si>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</si>
  <si>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</si>
  <si>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</si>
  <si>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</si>
  <si>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</si>
  <si>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</si>
  <si>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</si>
  <si>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</si>
  <si>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</si>
  <si>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</si>
  <si>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</si>
  <si>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</si>
  <si>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</si>
  <si>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</si>
  <si>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</si>
  <si>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</si>
  <si>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</si>
  <si>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</si>
  <si>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</si>
  <si>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</si>
  <si>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</si>
  <si>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</si>
  <si>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</si>
  <si>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</si>
  <si>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</si>
  <si>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</si>
  <si>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</si>
  <si>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</si>
  <si>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</si>
  <si>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</si>
  <si>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</si>
  <si>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</si>
  <si>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</si>
  <si>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</si>
  <si>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</si>
  <si>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</si>
  <si>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</si>
  <si>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</si>
  <si>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</si>
  <si>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</si>
  <si>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</si>
  <si>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</si>
  <si>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</si>
  <si>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</si>
  <si>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</si>
  <si>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</si>
  <si>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</si>
  <si>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</si>
  <si>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</si>
  <si>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</si>
  <si>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</si>
  <si>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</si>
  <si>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</si>
  <si>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</si>
  <si>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</si>
  <si>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</si>
  <si>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</si>
  <si>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</si>
  <si>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</si>
  <si>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</si>
  <si>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</si>
  <si>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</si>
  <si>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</si>
  <si>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</si>
  <si>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</si>
  <si>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</si>
  <si>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</si>
  <si>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</si>
  <si>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</si>
  <si>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</si>
  <si>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</si>
  <si>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</si>
  <si>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</si>
  <si>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</si>
  <si>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</si>
  <si>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</si>
  <si>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</si>
  <si>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</si>
  <si>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</si>
  <si>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</si>
  <si>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</si>
  <si>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</si>
  <si>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</si>
  <si>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</si>
  <si>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</si>
  <si>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</si>
  <si>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</si>
  <si>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</si>
  <si>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</si>
  <si>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</si>
  <si>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</si>
  <si>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</si>
  <si>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</si>
  <si>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</si>
  <si>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</si>
  <si>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</si>
  <si>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</si>
  <si>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</si>
  <si>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</si>
  <si>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</si>
  <si>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</si>
  <si>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</si>
  <si>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</si>
  <si>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</si>
  <si>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</si>
  <si>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</si>
  <si>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</si>
  <si>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</si>
  <si>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</si>
  <si>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</si>
  <si>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</si>
  <si>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</si>
  <si>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</si>
  <si>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</si>
  <si>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</si>
  <si>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</si>
  <si>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</si>
  <si>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</si>
  <si>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</si>
  <si>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</si>
  <si>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</si>
  <si>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</si>
  <si>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</si>
  <si>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</si>
  <si>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</si>
  <si>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</si>
  <si>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</si>
  <si>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</si>
  <si>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</si>
  <si>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</si>
  <si>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</si>
  <si>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</si>
  <si>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</si>
  <si>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</si>
  <si>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</si>
  <si>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</si>
  <si>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</si>
  <si>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</si>
  <si>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</si>
  <si>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</si>
  <si>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</si>
  <si>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</si>
  <si>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</si>
  <si>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</si>
  <si>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</si>
  <si>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</si>
  <si>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</si>
  <si>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</si>
  <si>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</si>
  <si>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</si>
  <si>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</si>
  <si>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</si>
  <si>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</si>
  <si>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</si>
  <si>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</si>
  <si>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</si>
  <si>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</si>
  <si>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</si>
  <si>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</si>
  <si>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</si>
  <si>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</si>
  <si>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</si>
  <si>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</si>
  <si>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</si>
  <si>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</si>
  <si>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</si>
  <si>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</si>
  <si>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</si>
  <si>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</si>
  <si>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</si>
  <si>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</si>
  <si>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</si>
  <si>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</si>
  <si>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</si>
  <si>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</si>
  <si>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</si>
  <si>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</si>
  <si>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</si>
  <si>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</si>
  <si>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</si>
  <si>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</si>
  <si>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</si>
  <si>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</si>
  <si>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</si>
  <si>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</si>
  <si>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</si>
  <si>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</si>
  <si>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</si>
  <si>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</si>
  <si>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</si>
  <si>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</si>
  <si>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</si>
  <si>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</si>
  <si>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</si>
  <si>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</si>
  <si>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</si>
  <si>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</si>
  <si>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</si>
  <si>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</si>
  <si>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</si>
  <si>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</si>
  <si>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</si>
  <si>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</si>
  <si>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</si>
  <si>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</si>
  <si>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</si>
  <si>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</si>
  <si>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</si>
  <si>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</si>
  <si>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</si>
  <si>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</si>
  <si>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</si>
  <si>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</si>
  <si>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</si>
  <si>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</si>
  <si>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</si>
  <si>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</si>
  <si>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</si>
  <si>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</si>
  <si>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</si>
  <si>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</si>
  <si>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</si>
  <si>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</si>
  <si>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</si>
  <si>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</si>
  <si>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</si>
  <si>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</si>
  <si>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</si>
  <si>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</si>
  <si>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</si>
  <si>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</si>
  <si>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</si>
  <si>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</si>
  <si>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</si>
  <si>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</si>
  <si>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</si>
  <si>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</si>
  <si>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</si>
  <si>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</si>
  <si>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</si>
  <si>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</si>
  <si>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</si>
  <si>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</si>
  <si>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</si>
  <si>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</si>
  <si>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</si>
  <si>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</si>
  <si>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</si>
  <si>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</si>
  <si>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</si>
  <si>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</si>
  <si>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</si>
  <si>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</si>
  <si>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</si>
  <si>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</si>
  <si>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</si>
  <si>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</si>
  <si>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</si>
  <si>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</si>
  <si>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</si>
  <si>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</si>
  <si>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</si>
  <si>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</si>
  <si>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</si>
  <si>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</si>
  <si>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</si>
  <si>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</si>
  <si>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</si>
  <si>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</si>
  <si>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</si>
  <si>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</si>
  <si>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</si>
  <si>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</si>
  <si>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</si>
  <si>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</si>
  <si>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</si>
  <si>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</si>
  <si>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</si>
  <si>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</si>
  <si>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</si>
  <si>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</si>
  <si>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</si>
  <si>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</si>
  <si>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</si>
  <si>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</si>
  <si>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</si>
  <si>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</si>
  <si>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</si>
  <si>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</si>
  <si>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</si>
  <si>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</si>
  <si>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</si>
  <si>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</si>
  <si>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</si>
  <si>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</si>
  <si>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</si>
  <si>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</si>
  <si>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</si>
  <si>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</si>
  <si>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</si>
  <si>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</si>
  <si>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</si>
  <si>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</si>
  <si>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</si>
  <si>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</si>
  <si>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</si>
  <si>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</si>
  <si>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</si>
  <si>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</si>
  <si>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</si>
  <si>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</si>
  <si>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</si>
  <si>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</si>
  <si>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</si>
  <si>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</si>
  <si>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</si>
  <si>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</si>
  <si>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</si>
  <si>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</si>
  <si>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</si>
  <si>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</si>
  <si>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</si>
  <si>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</si>
  <si>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</si>
  <si>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</si>
  <si>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</si>
  <si>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</si>
  <si>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</si>
  <si>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</si>
  <si>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</si>
  <si>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</si>
  <si>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</si>
  <si>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</si>
  <si>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</si>
  <si>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</si>
  <si>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</si>
  <si>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</si>
  <si>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</si>
  <si>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</si>
  <si>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</si>
  <si>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</si>
  <si>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</si>
  <si>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</si>
  <si>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</si>
  <si>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</si>
  <si>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</si>
  <si>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</si>
  <si>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</si>
  <si>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</si>
  <si>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</si>
  <si>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</si>
  <si>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</si>
  <si>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</si>
  <si>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</si>
  <si>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</si>
  <si>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</si>
  <si>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</si>
  <si>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</si>
  <si>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</si>
  <si>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</si>
  <si>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</si>
  <si>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</si>
  <si>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</si>
  <si>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</si>
  <si>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</si>
  <si>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</si>
  <si>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</si>
  <si>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</si>
  <si>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</si>
  <si>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</si>
  <si>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</si>
  <si>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</si>
  <si>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</si>
  <si>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</si>
  <si>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</si>
  <si>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</si>
  <si>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</si>
  <si>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</si>
  <si>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</si>
  <si>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</si>
  <si>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</si>
  <si>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</si>
  <si>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</si>
  <si>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</si>
  <si>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</si>
  <si>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</si>
  <si>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</si>
  <si>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</si>
  <si>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</si>
  <si>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</si>
  <si>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</si>
  <si>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</si>
  <si>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</si>
  <si>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</si>
  <si>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</si>
  <si>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</si>
  <si>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</si>
  <si>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</si>
  <si>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</si>
  <si>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</si>
  <si>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</si>
  <si>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</si>
  <si>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</si>
  <si>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</si>
  <si>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</si>
  <si>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</si>
  <si>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</si>
  <si>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</si>
  <si>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</si>
  <si>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</si>
  <si>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</si>
  <si>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</si>
  <si>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</si>
  <si>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</si>
  <si>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</si>
  <si>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</si>
  <si>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</si>
  <si>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</si>
  <si>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</si>
  <si>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</si>
  <si>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</si>
  <si>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</si>
  <si>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</si>
  <si>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</si>
  <si>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</si>
  <si>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</si>
  <si>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</si>
  <si>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</si>
  <si>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</si>
  <si>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</si>
  <si>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</si>
  <si>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</si>
  <si>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</si>
  <si>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</si>
  <si>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</si>
  <si>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</si>
  <si>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</si>
  <si>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</si>
  <si>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</si>
  <si>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</si>
  <si>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</si>
  <si>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</si>
  <si>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</si>
  <si>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</si>
  <si>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</si>
  <si>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</si>
  <si>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</si>
  <si>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</si>
  <si>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</si>
  <si>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</si>
  <si>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</si>
  <si>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</si>
  <si>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</si>
  <si>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</si>
  <si>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</si>
  <si>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</si>
  <si>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</si>
  <si>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</si>
  <si>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</si>
  <si>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</si>
  <si>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</si>
  <si>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</si>
  <si>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</si>
  <si>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</si>
  <si>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</si>
  <si>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</si>
  <si>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</si>
  <si>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</si>
  <si>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</si>
  <si>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</si>
  <si>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</si>
  <si>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</si>
  <si>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</si>
  <si>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</si>
  <si>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</si>
  <si>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</si>
  <si>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</si>
  <si>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</si>
  <si>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</si>
  <si>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</si>
  <si>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</si>
  <si>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</si>
  <si>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</si>
  <si>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</si>
  <si>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</si>
  <si>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</si>
  <si>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</si>
  <si>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</si>
  <si>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</si>
  <si>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</si>
  <si>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</si>
  <si>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</si>
  <si>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</si>
  <si>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</si>
  <si>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</si>
  <si>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</si>
  <si>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</si>
  <si>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</si>
  <si>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</si>
  <si>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</si>
  <si>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</si>
  <si>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</si>
  <si>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</si>
  <si>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</si>
  <si>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</si>
  <si>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</si>
  <si>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</si>
  <si>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</si>
  <si>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</si>
  <si>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</si>
  <si>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</si>
  <si>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</si>
  <si>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</si>
  <si>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</si>
  <si>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</si>
  <si>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</si>
  <si>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</si>
  <si>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</si>
  <si>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</si>
  <si>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</si>
  <si>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</si>
  <si>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</si>
  <si>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</si>
  <si>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</si>
  <si>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</si>
  <si>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</si>
  <si>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</si>
  <si>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</si>
  <si>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</si>
  <si>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</si>
  <si>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</si>
  <si>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</si>
  <si>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</si>
  <si>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</si>
  <si>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</si>
  <si>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</si>
  <si>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</si>
  <si>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</si>
  <si>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</si>
  <si>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</si>
  <si>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</si>
  <si>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</si>
  <si>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</si>
  <si>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</si>
  <si>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</si>
  <si>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</si>
  <si>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</si>
  <si>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</si>
  <si>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</si>
  <si>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</si>
  <si>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</si>
  <si>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</si>
  <si>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</si>
  <si>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</si>
  <si>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</si>
  <si>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</si>
  <si>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</si>
  <si>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</si>
  <si>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</si>
  <si>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</si>
  <si>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</si>
  <si>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</si>
  <si>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</si>
  <si>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</si>
  <si>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</si>
  <si>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</si>
  <si>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</si>
  <si>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</si>
  <si>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</si>
  <si>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</si>
  <si>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</si>
  <si>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</si>
  <si>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</si>
  <si>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</si>
  <si>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</si>
  <si>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</si>
  <si>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</si>
  <si>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</si>
  <si>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</si>
  <si>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</si>
  <si>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</si>
  <si>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</si>
  <si>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</si>
  <si>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</si>
  <si>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</si>
  <si>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</si>
  <si>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</si>
  <si>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</si>
  <si>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</si>
  <si>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</si>
  <si>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</si>
  <si>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</si>
  <si>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</si>
  <si>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</si>
  <si>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</si>
  <si>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</si>
  <si>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</si>
  <si>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</si>
  <si>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</si>
  <si>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</si>
  <si>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</si>
  <si>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</si>
  <si>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</si>
  <si>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</si>
  <si>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</si>
  <si>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</si>
  <si>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</si>
  <si>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</si>
  <si>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</si>
  <si>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</si>
  <si>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</si>
  <si>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</si>
  <si>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</si>
  <si>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</si>
  <si>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</si>
  <si>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</si>
  <si>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</si>
  <si>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</si>
  <si>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</si>
  <si>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</si>
  <si>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</si>
  <si>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</si>
  <si>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</si>
  <si>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</si>
  <si>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</si>
  <si>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</si>
  <si>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</si>
  <si>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</si>
  <si>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</si>
  <si>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</si>
  <si>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</si>
  <si>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</si>
  <si>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</si>
  <si>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</si>
  <si>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</si>
  <si>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</si>
  <si>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</si>
  <si>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</si>
  <si>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</si>
  <si>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</si>
  <si>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</si>
  <si>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</si>
  <si>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</si>
  <si>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</si>
  <si>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</si>
  <si>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</si>
  <si>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</si>
  <si>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</si>
  <si>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</si>
  <si>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</si>
  <si>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</si>
  <si>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</si>
  <si>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</si>
  <si>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</si>
  <si>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</si>
  <si>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</si>
  <si>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</si>
  <si>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</si>
  <si>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</si>
  <si>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</si>
  <si>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</si>
  <si>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</si>
  <si>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</si>
  <si>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</si>
  <si>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</si>
  <si>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</si>
  <si>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</si>
  <si>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</si>
  <si>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</si>
  <si>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</si>
  <si>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</si>
  <si>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</si>
  <si>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</si>
  <si>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</si>
  <si>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</si>
  <si>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</si>
  <si>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</si>
  <si>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</si>
  <si>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</si>
  <si>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</si>
  <si>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</si>
  <si>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</si>
  <si>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</si>
  <si>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</si>
  <si>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</si>
  <si>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</si>
  <si>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</si>
  <si>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</si>
  <si>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</si>
  <si>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</si>
  <si>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</si>
  <si>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</si>
  <si>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</si>
  <si>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</si>
  <si>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</si>
  <si>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</si>
  <si>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</si>
  <si>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</si>
  <si>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</si>
  <si>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</si>
  <si>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</si>
  <si>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</si>
  <si>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</si>
  <si>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</si>
  <si>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</si>
  <si>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</si>
  <si>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</si>
  <si>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</si>
  <si>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</si>
  <si>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</si>
  <si>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</si>
  <si>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</si>
  <si>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</si>
  <si>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</si>
  <si>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</si>
  <si>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</si>
  <si>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</si>
  <si>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</si>
  <si>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</si>
  <si>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</si>
  <si>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</si>
  <si>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</si>
  <si>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</si>
  <si>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</si>
  <si>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</si>
  <si>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</si>
  <si>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</si>
  <si>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</si>
  <si>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</si>
  <si>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</si>
  <si>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</si>
  <si>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</si>
  <si>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</si>
  <si>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</si>
  <si>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</si>
  <si>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</si>
  <si>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</si>
  <si>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</si>
  <si>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</si>
  <si>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</si>
  <si>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</si>
  <si>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</si>
  <si>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</si>
  <si>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</si>
  <si>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</si>
  <si>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</si>
  <si>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</si>
  <si>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</si>
  <si>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</si>
  <si>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</si>
  <si>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</si>
  <si>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</si>
  <si>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</si>
  <si>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</si>
  <si>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</si>
  <si>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</si>
  <si>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</si>
  <si>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</si>
  <si>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</si>
  <si>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</si>
  <si>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</si>
  <si>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</si>
  <si>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</si>
  <si>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</si>
  <si>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</si>
  <si>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</si>
  <si>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</si>
  <si>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</si>
  <si>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</si>
  <si>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</si>
  <si>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</si>
  <si>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</si>
  <si>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</si>
  <si>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</si>
  <si>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</si>
  <si>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</si>
  <si>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</si>
  <si>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</si>
  <si>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</si>
  <si>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</si>
  <si>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</si>
  <si>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</si>
  <si>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</si>
  <si>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</si>
  <si>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</si>
  <si>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</si>
  <si>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</si>
  <si>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</si>
  <si>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</si>
  <si>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</si>
  <si>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</si>
  <si>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</si>
  <si>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</si>
  <si>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</si>
  <si>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</si>
  <si>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</si>
  <si>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</si>
  <si>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</si>
  <si>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</si>
  <si>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</si>
  <si>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</si>
  <si>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</si>
  <si>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</si>
  <si>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</si>
  <si>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</si>
  <si>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</si>
  <si>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</si>
  <si>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</si>
  <si>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</si>
  <si>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</si>
  <si>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</si>
  <si>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</si>
  <si>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</si>
  <si>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</si>
  <si>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</si>
  <si>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</si>
  <si>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</si>
  <si>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</si>
  <si>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</si>
  <si>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</si>
  <si>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</si>
  <si>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</si>
  <si>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</si>
  <si>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</si>
  <si>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</si>
  <si>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</si>
  <si>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</si>
  <si>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</si>
  <si>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</si>
  <si>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</si>
  <si>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</si>
  <si>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</si>
  <si>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</si>
  <si>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</si>
  <si>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</si>
  <si>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</si>
  <si>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</si>
  <si>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</si>
  <si>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</si>
  <si>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</si>
  <si>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</si>
  <si>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</si>
  <si>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</si>
  <si>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</si>
  <si>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</si>
  <si>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</si>
  <si>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</si>
  <si>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</si>
  <si>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</si>
  <si>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</si>
  <si>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</si>
  <si>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</si>
  <si>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</si>
  <si>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</si>
  <si>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</si>
  <si>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</si>
  <si>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</si>
  <si>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</si>
  <si>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</si>
  <si>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</si>
  <si>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</si>
  <si>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</si>
  <si>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</si>
  <si>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</si>
  <si>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</si>
  <si>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</si>
  <si>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</si>
  <si>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</si>
  <si>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</si>
  <si>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</si>
  <si>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</si>
  <si>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</si>
  <si>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</si>
  <si>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</si>
  <si>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</si>
  <si>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</si>
  <si>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</si>
  <si>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</si>
  <si>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</si>
  <si>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</si>
  <si>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</si>
  <si>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</si>
  <si>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</si>
  <si>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</si>
  <si>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</si>
  <si>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</si>
  <si>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</si>
  <si>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</si>
  <si>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</si>
  <si>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</si>
  <si>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</si>
  <si>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</si>
  <si>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</si>
  <si>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</si>
  <si>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</si>
  <si>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</si>
  <si>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</si>
  <si>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</si>
  <si>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</si>
  <si>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</si>
  <si>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</si>
  <si>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</si>
  <si>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</si>
  <si>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</si>
  <si>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</si>
  <si>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</si>
  <si>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</si>
  <si>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</si>
  <si>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</si>
  <si>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</si>
  <si>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</si>
  <si>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</si>
  <si>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</si>
  <si>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</si>
  <si>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</si>
  <si>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</si>
  <si>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</si>
  <si>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</si>
  <si>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</si>
  <si>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</si>
  <si>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</si>
  <si>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</si>
  <si>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</si>
  <si>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</si>
  <si>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</si>
  <si>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</si>
  <si>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</si>
  <si>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</si>
  <si>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</si>
  <si>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</si>
  <si>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</si>
  <si>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</si>
  <si>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</si>
  <si>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</si>
  <si>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</si>
  <si>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</si>
  <si>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</si>
  <si>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</si>
  <si>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</si>
  <si>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</si>
  <si>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</si>
  <si>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</si>
  <si>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</si>
  <si>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</si>
  <si>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</si>
  <si>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</si>
  <si>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</si>
  <si>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</si>
  <si>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</si>
  <si>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</si>
  <si>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</si>
  <si>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</si>
  <si>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</si>
  <si>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</si>
  <si>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</si>
  <si>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</si>
  <si>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</si>
  <si>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</si>
  <si>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</si>
  <si>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</si>
  <si>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</si>
  <si>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</si>
  <si>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</si>
  <si>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</si>
  <si>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</si>
  <si>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</si>
  <si>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</si>
  <si>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</si>
  <si>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</si>
  <si>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</si>
  <si>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</si>
  <si>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</si>
  <si>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</si>
  <si>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</si>
  <si>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</si>
  <si>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</si>
  <si>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</si>
  <si>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</si>
  <si>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</si>
  <si>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</si>
  <si>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</si>
  <si>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</si>
  <si>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</si>
  <si>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</si>
  <si>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</si>
  <si>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</si>
  <si>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</si>
  <si>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</si>
  <si>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</si>
  <si>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</si>
  <si>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</si>
  <si>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</si>
  <si>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</si>
  <si>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</si>
  <si>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</si>
  <si>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</si>
  <si>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</si>
  <si>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</si>
  <si>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</si>
  <si>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</si>
  <si>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</si>
  <si>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</si>
  <si>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</si>
  <si>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</si>
  <si>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</si>
  <si>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</si>
  <si>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</si>
  <si>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</si>
  <si>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</si>
  <si>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</si>
  <si>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</si>
  <si>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</si>
  <si>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</si>
  <si>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</si>
  <si>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</si>
  <si>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</si>
  <si>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</si>
  <si>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</si>
  <si>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</si>
  <si>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</si>
  <si>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</si>
  <si>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</si>
  <si>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</si>
  <si>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</si>
  <si>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</si>
  <si>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</si>
  <si>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</si>
  <si>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</si>
  <si>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</si>
  <si>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</si>
  <si>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</si>
  <si>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</si>
  <si>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</si>
  <si>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</si>
  <si>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</si>
  <si>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</si>
  <si>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</si>
  <si>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</si>
  <si>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</si>
  <si>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</si>
  <si>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</si>
  <si>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</si>
  <si>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</si>
  <si>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</si>
  <si>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</si>
  <si>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</si>
  <si>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</si>
  <si>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</si>
  <si>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</si>
  <si>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</si>
  <si>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</si>
  <si>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</si>
  <si>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</si>
  <si>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</si>
  <si>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</si>
  <si>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</si>
  <si>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</si>
  <si>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</si>
  <si>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</si>
  <si>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</si>
  <si>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</si>
  <si>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</si>
  <si>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</si>
  <si>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</si>
  <si>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</si>
  <si>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</si>
  <si>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</si>
  <si>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</si>
  <si>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</si>
  <si>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</si>
  <si>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</si>
  <si>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</si>
  <si>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</si>
  <si>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</si>
  <si>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</si>
  <si>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</si>
  <si>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</si>
  <si>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</si>
  <si>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</si>
  <si>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</si>
  <si>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</si>
  <si>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</si>
  <si>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</si>
  <si>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</si>
  <si>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</si>
  <si>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</si>
  <si>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</si>
  <si>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</si>
  <si>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</si>
  <si>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</si>
  <si>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</si>
  <si>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</si>
  <si>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</si>
  <si>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</si>
  <si>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</si>
  <si>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</si>
  <si>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</si>
  <si>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</si>
  <si>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</si>
  <si>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</si>
  <si>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</si>
  <si>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</si>
  <si>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</si>
  <si>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</si>
  <si>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</si>
  <si>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</si>
  <si>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</si>
  <si>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</si>
  <si>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</si>
  <si>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</si>
  <si>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</si>
  <si>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</si>
  <si>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</si>
  <si>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</si>
  <si>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</si>
  <si>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</si>
  <si>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</si>
  <si>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</si>
  <si>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</si>
  <si>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</si>
  <si>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</si>
  <si>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</si>
  <si>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</si>
  <si>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</si>
  <si>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</si>
  <si>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</si>
  <si>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</si>
  <si>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</si>
  <si>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</si>
  <si>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</si>
  <si>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</si>
  <si>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</si>
  <si>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</si>
  <si>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</si>
  <si>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</si>
  <si>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</si>
  <si>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</si>
  <si>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</si>
  <si>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</si>
  <si>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</si>
  <si>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</si>
  <si>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</si>
  <si>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</si>
  <si>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</si>
  <si>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</si>
  <si>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</si>
  <si>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</si>
  <si>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</si>
  <si>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</si>
  <si>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</si>
  <si>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</si>
  <si>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</si>
  <si>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</si>
  <si>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</si>
  <si>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</si>
  <si>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</si>
  <si>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</si>
  <si>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</si>
  <si>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</si>
  <si>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</si>
  <si>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</si>
  <si>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</si>
  <si>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</si>
  <si>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</si>
  <si>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</si>
  <si>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</si>
  <si>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</si>
  <si>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</si>
  <si>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</si>
  <si>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</si>
  <si>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</si>
  <si>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</si>
  <si>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</si>
  <si>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</si>
  <si>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</si>
  <si>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</si>
  <si>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</si>
  <si>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</si>
  <si>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</si>
  <si>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</si>
  <si>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</si>
  <si>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</si>
  <si>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</si>
  <si>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</si>
  <si>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</si>
  <si>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</si>
  <si>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</si>
  <si>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</si>
  <si>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</si>
  <si>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</si>
  <si>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</si>
  <si>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</si>
  <si>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</si>
  <si>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</si>
  <si>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</si>
  <si>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</si>
  <si>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</si>
  <si>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</si>
  <si>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</si>
  <si>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</si>
  <si>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</si>
  <si>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</si>
  <si>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</si>
  <si>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</si>
  <si>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</si>
  <si>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</si>
  <si>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</si>
  <si>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</si>
  <si>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</si>
  <si>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</si>
  <si>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</si>
  <si>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</si>
  <si>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</si>
  <si>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</si>
  <si>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</si>
  <si>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</si>
  <si>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</si>
  <si>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</si>
  <si>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</si>
  <si>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</si>
  <si>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</si>
  <si>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</si>
  <si>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</si>
  <si>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</si>
  <si>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</si>
  <si>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</si>
  <si>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</si>
  <si>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</si>
  <si>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</si>
  <si>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</si>
  <si>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</si>
  <si>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</si>
  <si>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</si>
  <si>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</si>
  <si>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</si>
  <si>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</si>
  <si>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</si>
  <si>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</si>
  <si>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</si>
  <si>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</si>
  <si>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</si>
  <si>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</si>
  <si>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</si>
  <si>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</si>
  <si>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</si>
  <si>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</si>
  <si>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</si>
  <si>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</si>
  <si>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</si>
  <si>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</si>
  <si>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</si>
  <si>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</si>
  <si>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</si>
  <si>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</si>
  <si>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</si>
  <si>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</si>
  <si>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</si>
  <si>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</si>
  <si>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</si>
  <si>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</si>
  <si>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</si>
  <si>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</si>
  <si>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</si>
  <si>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</si>
  <si>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</si>
  <si>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</si>
  <si>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</si>
  <si>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</si>
  <si>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</si>
  <si>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</si>
  <si>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</si>
  <si>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</si>
  <si>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</si>
  <si>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</si>
  <si>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</si>
  <si>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</si>
  <si>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</si>
  <si>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</si>
  <si>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</si>
  <si>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</si>
  <si>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</si>
  <si>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</si>
  <si>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</si>
  <si>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</si>
  <si>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</si>
  <si>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</si>
  <si>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</si>
  <si>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</si>
  <si>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</si>
  <si>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</si>
  <si>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</si>
  <si>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</si>
  <si>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</si>
  <si>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</si>
  <si>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</si>
  <si>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</si>
  <si>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</si>
  <si>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</si>
  <si>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</si>
  <si>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</si>
  <si>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</si>
  <si>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</si>
  <si>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</si>
  <si>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</si>
  <si>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</si>
  <si>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</si>
  <si>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</si>
  <si>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</si>
  <si>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</si>
  <si>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</si>
  <si>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</si>
  <si>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</si>
  <si>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</si>
  <si>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</si>
  <si>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</si>
  <si>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</si>
  <si>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</si>
  <si>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</si>
  <si>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</si>
  <si>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</si>
  <si>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</si>
  <si>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</si>
  <si>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</si>
  <si>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</si>
  <si>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</si>
  <si>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</si>
  <si>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</si>
  <si>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</si>
  <si>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</si>
  <si>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</si>
  <si>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</si>
  <si>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</si>
  <si>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</si>
  <si>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</si>
  <si>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</si>
  <si>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</si>
  <si>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</si>
  <si>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</si>
  <si>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</si>
  <si>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</si>
  <si>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</si>
  <si>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</si>
  <si>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</si>
  <si>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</si>
  <si>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</si>
  <si>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</si>
  <si>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</si>
  <si>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</si>
  <si>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</si>
  <si>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</si>
  <si>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</si>
  <si>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</si>
  <si>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</si>
  <si>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</si>
  <si>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</si>
  <si>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</si>
  <si>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</si>
  <si>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</si>
  <si>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</si>
  <si>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</si>
  <si>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</si>
  <si>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</si>
  <si>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</si>
  <si>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</si>
  <si>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</si>
  <si>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</si>
  <si>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</si>
  <si>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</si>
  <si>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</si>
  <si>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</si>
  <si>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</si>
  <si>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</si>
  <si>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</si>
  <si>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</si>
  <si>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</si>
  <si>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</si>
  <si>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</si>
  <si>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</si>
  <si>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</si>
  <si>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</si>
  <si>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</si>
  <si>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</si>
  <si>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</si>
  <si>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</si>
  <si>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</si>
  <si>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</si>
  <si>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</si>
  <si>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</si>
  <si>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</si>
  <si>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</si>
  <si>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</si>
  <si>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</si>
  <si>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</si>
  <si>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</si>
  <si>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</si>
  <si>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</si>
  <si>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</si>
  <si>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</si>
  <si>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</si>
  <si>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</si>
  <si>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</si>
  <si>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</si>
  <si>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</si>
  <si>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</si>
  <si>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</si>
  <si>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</si>
  <si>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</si>
  <si>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</si>
  <si>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</si>
  <si>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</si>
  <si>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</si>
  <si>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</si>
  <si>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</si>
  <si>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</si>
  <si>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</si>
  <si>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</si>
  <si>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</si>
  <si>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</si>
  <si>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</si>
  <si>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</si>
  <si>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</si>
  <si>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</si>
  <si>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</si>
  <si>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</si>
  <si>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</si>
  <si>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</si>
  <si>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</si>
  <si>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</si>
  <si>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</si>
  <si>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</si>
  <si>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</si>
  <si>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</si>
  <si>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</si>
  <si>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</si>
  <si>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</si>
  <si>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</si>
  <si>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</si>
  <si>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</si>
  <si>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</si>
  <si>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</si>
  <si>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</si>
  <si>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</si>
  <si>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</si>
  <si>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</si>
  <si>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</si>
  <si>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</si>
  <si>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</si>
  <si>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</si>
  <si>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</si>
  <si>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</si>
  <si>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</si>
  <si>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</si>
  <si>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</si>
  <si>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</si>
  <si>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</si>
  <si>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</si>
  <si>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</si>
  <si>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</si>
  <si>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</si>
  <si>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</si>
  <si>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</si>
  <si>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</si>
  <si>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</si>
  <si>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</si>
  <si>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</si>
  <si>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</si>
  <si>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</si>
  <si>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</si>
  <si>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</si>
  <si>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</si>
  <si>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</si>
  <si>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</si>
  <si>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</si>
  <si>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</si>
  <si>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</si>
  <si>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</si>
  <si>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</si>
  <si>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</si>
  <si>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</si>
  <si>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</si>
  <si>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</si>
  <si>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</si>
  <si>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</si>
  <si>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</si>
  <si>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</si>
  <si>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</si>
  <si>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</si>
  <si>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</si>
  <si>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</si>
  <si>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</si>
  <si>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</si>
  <si>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</si>
  <si>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</si>
  <si>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</si>
  <si>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</si>
  <si>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</si>
  <si>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</si>
  <si>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</si>
  <si>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</si>
  <si>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</si>
  <si>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</si>
  <si>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</si>
  <si>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</si>
  <si>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</si>
  <si>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</si>
  <si>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</si>
  <si>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</si>
  <si>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</si>
  <si>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</si>
  <si>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</si>
  <si>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</si>
  <si>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</si>
  <si>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</si>
  <si>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</si>
  <si>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</si>
  <si>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</si>
  <si>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</si>
  <si>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</si>
  <si>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</si>
  <si>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</si>
  <si>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</si>
  <si>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</si>
  <si>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</si>
  <si>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</si>
  <si>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</si>
  <si>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</si>
  <si>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</si>
  <si>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</si>
  <si>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</si>
  <si>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</si>
  <si>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</si>
  <si>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</si>
  <si>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</si>
  <si>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</si>
  <si>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</si>
  <si>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</si>
  <si>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</si>
  <si>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</si>
  <si>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</si>
  <si>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</si>
  <si>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</si>
  <si>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</si>
  <si>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</si>
  <si>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</si>
  <si>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</si>
  <si>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</si>
  <si>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</si>
  <si>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</si>
  <si>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</si>
  <si>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</si>
  <si>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</si>
  <si>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</si>
  <si>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</si>
  <si>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</si>
  <si>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</si>
  <si>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</si>
  <si>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</si>
  <si>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</si>
  <si>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</si>
  <si>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</si>
  <si>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</si>
  <si>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</si>
  <si>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</si>
  <si>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</si>
  <si>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</si>
  <si>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</si>
  <si>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</si>
  <si>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</si>
  <si>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</si>
  <si>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</si>
  <si>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</si>
  <si>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</si>
  <si>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</si>
  <si>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</si>
  <si>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</si>
  <si>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</si>
  <si>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</si>
  <si>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</si>
  <si>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</si>
  <si>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</si>
  <si>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</si>
  <si>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</si>
  <si>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</si>
  <si>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</si>
  <si>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</si>
  <si>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</si>
  <si>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</si>
  <si>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</si>
  <si>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</si>
  <si>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</si>
  <si>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</si>
  <si>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</si>
  <si>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</si>
  <si>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</si>
  <si>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</si>
  <si>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</si>
  <si>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</si>
  <si>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</si>
  <si>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</si>
  <si>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</si>
  <si>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</si>
  <si>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</si>
  <si>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</si>
  <si>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</si>
  <si>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</si>
  <si>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</si>
  <si>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</si>
  <si>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</si>
  <si>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</si>
  <si>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</si>
  <si>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</si>
  <si>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</si>
  <si>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</si>
  <si>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</si>
  <si>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</si>
  <si>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</si>
  <si>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</si>
  <si>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</si>
  <si>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</si>
  <si>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</si>
  <si>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</si>
  <si>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</si>
  <si>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</si>
  <si>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</si>
  <si>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</si>
  <si>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</si>
  <si>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</si>
  <si>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</si>
  <si>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</si>
  <si>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</si>
  <si>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</si>
  <si>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</si>
  <si>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</si>
  <si>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</si>
  <si>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</si>
  <si>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</si>
  <si>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</si>
  <si>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</si>
  <si>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</si>
  <si>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</si>
  <si>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</si>
  <si>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</si>
  <si>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</si>
  <si>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</si>
  <si>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</si>
  <si>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</si>
  <si>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</si>
  <si>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</si>
  <si>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</si>
  <si>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</si>
  <si>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</si>
  <si>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</si>
  <si>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</si>
  <si>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</si>
  <si>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</si>
  <si>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</si>
  <si>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</si>
  <si>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</si>
  <si>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</si>
  <si>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</si>
  <si>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</si>
  <si>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</si>
  <si>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</si>
  <si>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</si>
  <si>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</si>
  <si>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</si>
  <si>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</si>
  <si>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</si>
  <si>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</si>
  <si>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</si>
  <si>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</si>
  <si>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</si>
  <si>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</si>
  <si>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</si>
  <si>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</si>
  <si>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</si>
  <si>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</si>
  <si>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</si>
  <si>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</si>
  <si>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</si>
  <si>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</si>
  <si>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</si>
  <si>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</si>
  <si>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</si>
  <si>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</si>
  <si>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</si>
  <si>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</si>
  <si>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</si>
  <si>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</si>
  <si>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</si>
  <si>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</si>
  <si>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</si>
  <si>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</si>
  <si>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</si>
  <si>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</si>
  <si>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</si>
  <si>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</si>
  <si>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</si>
  <si>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</si>
  <si>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</si>
  <si>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</si>
  <si>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</si>
  <si>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</si>
  <si>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</si>
  <si>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</si>
  <si>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</si>
  <si>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</si>
  <si>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</si>
  <si>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</si>
  <si>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</si>
  <si>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</si>
  <si>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</si>
  <si>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</si>
  <si>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</si>
  <si>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</si>
  <si>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</si>
  <si>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</si>
  <si>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</si>
  <si>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</si>
  <si>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</si>
  <si>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</si>
  <si>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</si>
  <si>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</si>
  <si>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</si>
  <si>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</si>
  <si>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</si>
  <si>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</si>
  <si>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</si>
  <si>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</si>
  <si>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</si>
  <si>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</si>
  <si>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</si>
  <si>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</si>
  <si>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</si>
  <si>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</si>
  <si>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</si>
  <si>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</si>
  <si>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</si>
  <si>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</si>
  <si>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</si>
  <si>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</si>
  <si>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</si>
  <si>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</si>
  <si>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</si>
  <si>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</si>
  <si>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</si>
  <si>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</si>
  <si>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</si>
  <si>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</si>
  <si>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</si>
  <si>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</si>
  <si>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</si>
  <si>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</si>
  <si>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</si>
  <si>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</si>
  <si>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</si>
  <si>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</si>
  <si>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</si>
  <si>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</si>
  <si>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</si>
  <si>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</si>
  <si>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</si>
  <si>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</si>
  <si>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</si>
  <si>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</si>
  <si>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</si>
  <si>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</si>
  <si>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</si>
  <si>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</si>
  <si>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</si>
  <si>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</si>
  <si>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</si>
  <si>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</si>
  <si>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</si>
  <si>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</si>
  <si>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</si>
  <si>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</si>
  <si>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</si>
  <si>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</si>
  <si>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</si>
  <si>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</si>
  <si>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</si>
  <si>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</si>
  <si>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</si>
  <si>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</si>
  <si>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</si>
  <si>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</si>
  <si>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</si>
  <si>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</si>
  <si>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</si>
  <si>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</si>
  <si>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</si>
  <si>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</si>
  <si>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</si>
  <si>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</si>
  <si>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</si>
  <si>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</si>
  <si>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</si>
  <si>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</si>
  <si>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</si>
  <si>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</si>
  <si>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</si>
  <si>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</si>
  <si>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</si>
  <si>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</si>
  <si>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</si>
  <si>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</si>
  <si>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</si>
  <si>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</si>
  <si>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</si>
  <si>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</si>
  <si>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</si>
  <si>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</si>
  <si>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</si>
  <si>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</si>
  <si>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</si>
  <si>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</si>
  <si>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</si>
  <si>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</si>
  <si>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</si>
  <si>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</si>
  <si>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</si>
  <si>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</si>
  <si>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</si>
  <si>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</si>
  <si>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</si>
  <si>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</si>
  <si>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</si>
  <si>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</si>
  <si>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</si>
  <si>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</si>
  <si>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</si>
  <si>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</si>
  <si>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</si>
  <si>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</si>
  <si>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</si>
  <si>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</si>
  <si>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</si>
  <si>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</si>
  <si>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</si>
  <si>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</si>
  <si>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</si>
  <si>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</si>
  <si>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</si>
  <si>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</si>
  <si>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</si>
  <si>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</si>
  <si>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</si>
  <si>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</si>
  <si>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</si>
  <si>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</si>
  <si>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</si>
  <si>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</si>
  <si>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</si>
  <si>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</si>
  <si>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</si>
  <si>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</si>
  <si>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</si>
  <si>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</si>
  <si>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</si>
  <si>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</si>
  <si>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</si>
  <si>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</si>
  <si>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</si>
  <si>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</si>
  <si>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</si>
  <si>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</si>
  <si>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</si>
  <si>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</si>
  <si>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</si>
  <si>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</si>
  <si>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</si>
  <si>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</si>
  <si>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</si>
  <si>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</si>
  <si>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</si>
  <si>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</si>
  <si>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</si>
  <si>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</si>
  <si>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</si>
  <si>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</si>
  <si>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</si>
  <si>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</si>
  <si>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</si>
  <si>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</si>
  <si>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</si>
  <si>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</si>
  <si>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</si>
  <si>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</si>
  <si>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</si>
  <si>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</si>
  <si>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</si>
  <si>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</si>
  <si>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</si>
  <si>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</si>
  <si>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</si>
  <si>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</si>
  <si>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</si>
  <si>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</si>
  <si>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</si>
  <si>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</si>
  <si>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</si>
  <si>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</si>
  <si>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</si>
  <si>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</si>
  <si>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</si>
  <si>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</si>
  <si>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</si>
  <si>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</si>
  <si>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</si>
  <si>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</si>
  <si>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</si>
  <si>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</si>
  <si>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</si>
  <si>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</si>
  <si>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</si>
  <si>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</si>
  <si>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</si>
  <si>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</si>
  <si>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</si>
  <si>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</si>
  <si>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</si>
  <si>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</si>
  <si>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</si>
  <si>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</si>
  <si>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</si>
  <si>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</si>
  <si>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</si>
  <si>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</si>
  <si>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</si>
  <si>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</si>
  <si>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</si>
  <si>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</si>
  <si>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</si>
  <si>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</si>
  <si>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</si>
  <si>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</si>
  <si>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</si>
  <si>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</si>
  <si>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</si>
  <si>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</si>
  <si>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</si>
  <si>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</si>
  <si>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</si>
  <si>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</si>
  <si>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</si>
  <si>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</si>
  <si>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</si>
  <si>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</si>
  <si>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</si>
  <si>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</si>
  <si>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</si>
  <si>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</si>
  <si>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</si>
  <si>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</si>
  <si>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</si>
  <si>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</si>
  <si>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</si>
  <si>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</si>
  <si>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</si>
  <si>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</si>
  <si>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</si>
  <si>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</si>
  <si>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</si>
  <si>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</si>
  <si>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</si>
  <si>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</si>
  <si>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</si>
  <si>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</si>
  <si>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</si>
  <si>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</si>
  <si>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</si>
  <si>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</si>
  <si>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</si>
  <si>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</si>
  <si>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</si>
  <si>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</si>
  <si>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</si>
  <si>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</si>
  <si>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</si>
  <si>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</si>
  <si>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</si>
  <si>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</si>
  <si>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</si>
  <si>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</si>
  <si>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</si>
  <si>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</si>
  <si>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</si>
  <si>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</si>
  <si>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</si>
  <si>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</si>
  <si>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</si>
  <si>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</si>
  <si>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</si>
  <si>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</si>
  <si>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</si>
  <si>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</si>
  <si>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</si>
  <si>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</si>
  <si>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</si>
  <si>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</si>
  <si>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</si>
  <si>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</si>
  <si>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</si>
  <si>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</si>
  <si>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</si>
  <si>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</si>
  <si>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</si>
  <si>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</si>
  <si>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</si>
  <si>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</si>
  <si>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</si>
  <si>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</si>
  <si>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</si>
  <si>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</si>
  <si>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</si>
  <si>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</si>
  <si>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</si>
  <si>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</si>
  <si>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</si>
  <si>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</si>
  <si>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</si>
  <si>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</si>
  <si>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</si>
  <si>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</si>
  <si>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</si>
  <si>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</si>
  <si>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</si>
  <si>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</si>
  <si>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</si>
  <si>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</si>
  <si>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</si>
  <si>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</si>
  <si>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</si>
  <si>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</si>
  <si>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</si>
  <si>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</si>
  <si>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</si>
  <si>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</si>
  <si>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</si>
  <si>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</si>
  <si>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</si>
  <si>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</si>
  <si>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</si>
  <si>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</si>
  <si>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</si>
  <si>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</si>
  <si>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</si>
  <si>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</si>
  <si>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</si>
  <si>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</si>
  <si>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</si>
  <si>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</si>
  <si>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</si>
  <si>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</si>
  <si>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</si>
  <si>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</si>
  <si>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</si>
  <si>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</si>
  <si>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</si>
  <si>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</si>
  <si>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</si>
  <si>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</si>
  <si>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</si>
  <si>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</si>
  <si>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</si>
  <si>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</si>
  <si>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</si>
  <si>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</si>
  <si>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</si>
  <si>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</si>
  <si>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</si>
  <si>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</si>
  <si>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</si>
  <si>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</si>
  <si>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</si>
  <si>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</si>
  <si>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</si>
  <si>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</si>
  <si>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</si>
  <si>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</si>
  <si>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</si>
  <si>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</si>
  <si>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</si>
  <si>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</si>
  <si>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</si>
  <si>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</si>
  <si>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</si>
  <si>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</si>
  <si>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</si>
  <si>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</si>
  <si>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</si>
  <si>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</si>
  <si>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</si>
  <si>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</si>
  <si>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</si>
  <si>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</si>
  <si>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</si>
  <si>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</si>
  <si>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</si>
  <si>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</si>
  <si>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</si>
  <si>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</si>
  <si>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</si>
  <si>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</si>
  <si>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</si>
  <si>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</si>
  <si>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</si>
  <si>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</si>
  <si>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</si>
  <si>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</si>
  <si>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</si>
  <si>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</si>
  <si>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</si>
  <si>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</si>
  <si>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</si>
  <si>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</si>
  <si>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</si>
  <si>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</si>
  <si>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</si>
  <si>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</si>
  <si>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</si>
  <si>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</si>
  <si>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</si>
  <si>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</si>
  <si>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</si>
  <si>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</si>
  <si>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</si>
  <si>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</si>
  <si>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</si>
  <si>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</si>
  <si>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</si>
  <si>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</si>
  <si>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</si>
  <si>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</si>
  <si>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</si>
  <si>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</si>
  <si>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</si>
  <si>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</si>
  <si>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</si>
  <si>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</si>
  <si>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</si>
  <si>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</si>
  <si>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</si>
  <si>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</si>
  <si>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</si>
  <si>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</si>
  <si>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</si>
  <si>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</si>
  <si>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</si>
  <si>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</si>
  <si>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</si>
  <si>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</si>
  <si>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</si>
  <si>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</si>
  <si>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</si>
  <si>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</si>
  <si>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</si>
  <si>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</si>
  <si>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</si>
  <si>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</si>
  <si>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</si>
  <si>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</si>
  <si>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</si>
  <si>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</si>
  <si>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</si>
  <si>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</si>
  <si>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</si>
  <si>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</si>
  <si>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</si>
  <si>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</si>
  <si>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</si>
  <si>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</si>
  <si>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</si>
  <si>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</si>
  <si>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</si>
  <si>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</si>
  <si>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</si>
  <si>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</si>
  <si>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</si>
  <si>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</si>
  <si>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</si>
  <si>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</si>
  <si>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</si>
  <si>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</si>
  <si>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</si>
  <si>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</si>
  <si>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</si>
  <si>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</si>
  <si>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</si>
  <si>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</si>
  <si>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</si>
  <si>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</si>
  <si>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</si>
  <si>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</si>
  <si>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</si>
  <si>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</si>
  <si>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</si>
  <si>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</si>
  <si>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</si>
  <si>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</si>
  <si>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</si>
  <si>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</si>
  <si>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</si>
  <si>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</si>
  <si>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</si>
  <si>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</si>
  <si>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</si>
  <si>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</si>
  <si>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</si>
  <si>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</si>
  <si>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</si>
  <si>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</si>
  <si>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</si>
  <si>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</si>
  <si>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</si>
  <si>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</si>
  <si>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</si>
  <si>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</si>
  <si>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</si>
  <si>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</si>
  <si>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</si>
  <si>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</si>
  <si>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</si>
  <si>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</si>
  <si>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</si>
  <si>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</si>
  <si>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</si>
  <si>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</si>
  <si>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</si>
  <si>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</si>
  <si>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</si>
  <si>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</si>
  <si>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</si>
  <si>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</si>
  <si>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</si>
  <si>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</si>
  <si>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</si>
  <si>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</si>
  <si>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</si>
  <si>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</si>
  <si>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</si>
  <si>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</si>
  <si>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</si>
  <si>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</si>
  <si>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</si>
  <si>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</si>
  <si>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</si>
  <si>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</si>
  <si>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</si>
  <si>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</si>
  <si>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</si>
  <si>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</si>
  <si>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</si>
  <si>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</si>
  <si>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</si>
  <si>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</si>
  <si>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</si>
  <si>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</si>
  <si>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</si>
  <si>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</si>
  <si>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</si>
  <si>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</si>
  <si>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</si>
  <si>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</si>
  <si>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</si>
  <si>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</si>
  <si>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</si>
  <si>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</si>
  <si>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</si>
  <si>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</si>
  <si>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</si>
  <si>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</si>
  <si>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</si>
  <si>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</si>
  <si>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</si>
  <si>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</si>
  <si>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</si>
  <si>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</si>
  <si>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</si>
  <si>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</si>
  <si>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</si>
  <si>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</si>
  <si>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</si>
  <si>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</si>
  <si>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</si>
  <si>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</si>
  <si>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</si>
  <si>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</si>
  <si>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</si>
  <si>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</si>
  <si>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</si>
  <si>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</si>
  <si>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</si>
  <si>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</si>
  <si>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</si>
  <si>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</si>
  <si>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</si>
  <si>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</si>
  <si>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</si>
  <si>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</si>
  <si>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</si>
  <si>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</si>
  <si>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</si>
  <si>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</si>
  <si>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</si>
  <si>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</si>
  <si>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</si>
  <si>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</si>
  <si>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</si>
  <si>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</si>
  <si>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</si>
  <si>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</si>
  <si>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</si>
  <si>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</si>
  <si>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</si>
  <si>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</si>
  <si>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</si>
  <si>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</si>
  <si>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</si>
  <si>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</si>
  <si>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</si>
  <si>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</si>
  <si>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</si>
  <si>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</si>
  <si>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</si>
  <si>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</si>
  <si>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</si>
  <si>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</si>
  <si>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</si>
  <si>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</si>
  <si>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</si>
  <si>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</si>
  <si>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</si>
  <si>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</si>
  <si>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</si>
  <si>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</si>
  <si>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</si>
  <si>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</si>
  <si>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</si>
  <si>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</si>
  <si>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</si>
  <si>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</si>
  <si>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</si>
  <si>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</si>
  <si>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</si>
  <si>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</si>
  <si>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</si>
  <si>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</si>
  <si>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</si>
  <si>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</si>
  <si>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</si>
  <si>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</si>
  <si>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</si>
  <si>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</si>
  <si>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</si>
  <si>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</si>
  <si>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</si>
  <si>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</si>
  <si>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</si>
  <si>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</si>
  <si>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</si>
  <si>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</si>
  <si>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</si>
  <si>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</si>
  <si>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</si>
  <si>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</si>
  <si>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</si>
  <si>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</si>
  <si>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</si>
  <si>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</si>
  <si>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</si>
  <si>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</si>
  <si>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</si>
  <si>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</si>
  <si>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</si>
  <si>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</si>
  <si>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</si>
  <si>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</si>
  <si>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</si>
  <si>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</si>
  <si>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</si>
  <si>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</si>
  <si>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</si>
  <si>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</si>
  <si>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</si>
  <si>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</si>
  <si>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</si>
  <si>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</si>
  <si>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</si>
  <si>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</si>
  <si>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</si>
  <si>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</si>
  <si>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</si>
  <si>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</si>
  <si>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</si>
  <si>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</si>
  <si>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</si>
  <si>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</si>
  <si>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</si>
  <si>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</si>
  <si>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</si>
  <si>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</si>
  <si>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</si>
  <si>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</si>
  <si>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</si>
  <si>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</si>
  <si>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</si>
  <si>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</si>
  <si>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</si>
  <si>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</si>
  <si>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</si>
  <si>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</si>
  <si>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</si>
  <si>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</si>
  <si>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</si>
  <si>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</si>
  <si>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</si>
  <si>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</si>
  <si>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</si>
  <si>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</si>
  <si>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</si>
  <si>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</si>
  <si>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</si>
  <si>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</si>
  <si>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</si>
  <si>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</si>
  <si>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</si>
  <si>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</si>
  <si>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</si>
  <si>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</si>
  <si>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</si>
  <si>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</si>
  <si>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</si>
  <si>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</si>
  <si>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</si>
  <si>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</si>
  <si>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</si>
  <si>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</si>
  <si>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</si>
  <si>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</si>
  <si>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</si>
  <si>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</si>
  <si>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</si>
  <si>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</si>
  <si>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</si>
  <si>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</si>
  <si>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</si>
  <si>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</si>
  <si>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</si>
  <si>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</si>
  <si>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</si>
  <si>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</si>
  <si>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</si>
  <si>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</si>
  <si>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</si>
  <si>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</si>
  <si>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</si>
  <si>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</si>
  <si>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</si>
  <si>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</si>
  <si>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</si>
  <si>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</si>
  <si>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</si>
  <si>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</si>
  <si>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</si>
  <si>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</si>
  <si>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</si>
  <si>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</si>
  <si>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</si>
  <si>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</si>
  <si>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</si>
  <si>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</si>
  <si>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</si>
  <si>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</si>
  <si>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</si>
  <si>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</si>
  <si>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</si>
  <si>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</si>
  <si>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</si>
  <si>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</si>
  <si>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</si>
  <si>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</si>
  <si>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</si>
  <si>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</si>
  <si>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</si>
  <si>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</si>
  <si>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</si>
  <si>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</si>
  <si>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</si>
  <si>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</si>
  <si>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</si>
  <si>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</si>
  <si>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</si>
  <si>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</si>
  <si>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</si>
  <si>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</si>
  <si>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</si>
  <si>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</si>
  <si>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</si>
  <si>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</si>
  <si>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</si>
  <si>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</si>
  <si>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</si>
  <si>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</si>
  <si>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</si>
  <si>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</si>
  <si>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</si>
  <si>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</si>
  <si>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</si>
  <si>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</si>
  <si>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</si>
  <si>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</si>
  <si>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</si>
  <si>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</si>
  <si>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</si>
  <si>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</si>
  <si>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</si>
  <si>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</si>
  <si>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</si>
  <si>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</si>
  <si>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</si>
  <si>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</si>
  <si>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</si>
  <si>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</si>
  <si>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</si>
  <si>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</si>
  <si>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</si>
  <si>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</si>
  <si>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</si>
  <si>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</si>
  <si>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</si>
  <si>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</si>
  <si>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</si>
  <si>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</si>
  <si>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</si>
  <si>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</si>
  <si>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</si>
  <si>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</si>
  <si>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</si>
  <si>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</si>
  <si>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</si>
  <si>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</si>
  <si>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</si>
  <si>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</si>
  <si>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</si>
  <si>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</si>
  <si>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</si>
  <si>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</si>
  <si>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</si>
  <si>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</si>
  <si>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</si>
  <si>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</si>
  <si>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</si>
  <si>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</si>
  <si>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</si>
  <si>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</si>
  <si>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</si>
  <si>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</si>
  <si>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</si>
  <si>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</si>
  <si>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</si>
  <si>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</si>
  <si>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</si>
  <si>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</si>
  <si>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</si>
  <si>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</si>
  <si>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</si>
  <si>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</si>
  <si>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</si>
  <si>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</si>
  <si>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</si>
  <si>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</si>
  <si>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</si>
  <si>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</si>
  <si>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</si>
  <si>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</si>
  <si>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</si>
  <si>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</si>
  <si>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</si>
  <si>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</si>
  <si>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</si>
  <si>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</si>
  <si>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</si>
  <si>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</si>
  <si>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</si>
  <si>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</si>
  <si>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</si>
  <si>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</si>
  <si>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</si>
  <si>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</si>
  <si>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</si>
  <si>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</si>
  <si>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</si>
  <si>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</si>
  <si>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</si>
  <si>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</si>
  <si>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</si>
  <si>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</si>
  <si>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</si>
  <si>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</si>
  <si>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</si>
  <si>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</si>
  <si>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</si>
  <si>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</si>
  <si>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</si>
  <si>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</si>
  <si>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</si>
  <si>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</si>
  <si>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</si>
  <si>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</si>
  <si>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</si>
  <si>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</si>
  <si>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</si>
  <si>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</si>
  <si>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</si>
  <si>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</si>
  <si>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</si>
  <si>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</si>
  <si>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</si>
  <si>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</si>
  <si>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</si>
  <si>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</si>
  <si>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</si>
  <si>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</si>
  <si>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</si>
  <si>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</si>
  <si>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</si>
  <si>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</si>
  <si>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</si>
  <si>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</si>
  <si>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</si>
  <si>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</si>
  <si>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</si>
  <si>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</si>
  <si>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</si>
  <si>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</si>
  <si>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</si>
  <si>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</si>
  <si>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</si>
  <si>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</si>
  <si>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</si>
  <si>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</si>
  <si>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</si>
  <si>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</si>
  <si>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</si>
  <si>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</si>
  <si>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</si>
  <si>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</si>
  <si>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</si>
  <si>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</si>
  <si>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</si>
  <si>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</si>
  <si>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</si>
  <si>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</si>
  <si>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</si>
  <si>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</si>
  <si>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</si>
  <si>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</si>
  <si>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</si>
  <si>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</si>
  <si>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</si>
  <si>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</si>
  <si>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</si>
  <si>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</si>
  <si>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</si>
  <si>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</si>
  <si>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</si>
  <si>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</si>
  <si>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</si>
  <si>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</si>
  <si>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</si>
  <si>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</si>
  <si>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</si>
  <si>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</si>
  <si>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</si>
  <si>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</si>
  <si>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</si>
  <si>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</si>
  <si>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</si>
  <si>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</si>
  <si>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</si>
  <si>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</si>
  <si>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</si>
  <si>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</si>
  <si>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</si>
  <si>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</si>
  <si>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</si>
  <si>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</si>
  <si>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</si>
  <si>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</si>
  <si>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</si>
  <si>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</si>
  <si>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</si>
  <si>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</si>
  <si>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</si>
  <si>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</si>
  <si>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</si>
  <si>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</si>
  <si>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</si>
  <si>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</si>
  <si>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</si>
  <si>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</si>
  <si>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</si>
  <si>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</si>
  <si>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</si>
  <si>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</si>
  <si>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</si>
  <si>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</si>
  <si>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</si>
  <si>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</si>
  <si>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</si>
  <si>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</si>
  <si>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</si>
  <si>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</si>
  <si>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</si>
  <si>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</si>
  <si>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</si>
  <si>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</si>
  <si>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</si>
  <si>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</si>
  <si>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</si>
  <si>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</si>
  <si>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</si>
  <si>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</si>
  <si>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</si>
  <si>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</si>
  <si>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</si>
  <si>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</si>
  <si>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</si>
  <si>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</si>
  <si>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</si>
  <si>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</si>
  <si>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</si>
  <si>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</si>
  <si>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</si>
  <si>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</si>
  <si>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</si>
  <si>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</si>
  <si>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</si>
  <si>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</si>
  <si>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</si>
  <si>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</si>
  <si>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</si>
  <si>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</si>
  <si>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</si>
  <si>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</si>
  <si>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</si>
  <si>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</si>
  <si>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</si>
  <si>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</si>
  <si>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</si>
  <si>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</si>
  <si>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</si>
  <si>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</si>
  <si>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</si>
  <si>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</si>
  <si>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</si>
  <si>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</si>
  <si>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</si>
  <si>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</si>
  <si>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</si>
  <si>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</si>
  <si>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</si>
  <si>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</si>
  <si>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</si>
  <si>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</si>
  <si>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</si>
  <si>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</si>
  <si>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</si>
  <si>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</si>
  <si>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</si>
  <si>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</si>
  <si>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</si>
  <si>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</si>
  <si>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</si>
  <si>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</si>
  <si>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</si>
  <si>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</si>
  <si>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</si>
  <si>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</si>
  <si>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</si>
  <si>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</si>
  <si>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</si>
  <si>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</si>
  <si>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</si>
  <si>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</si>
  <si>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</si>
  <si>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</si>
  <si>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</si>
  <si>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</si>
  <si>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</si>
  <si>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</si>
  <si>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</si>
  <si>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</si>
  <si>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</si>
  <si>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</si>
  <si>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</si>
  <si>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</si>
  <si>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</si>
  <si>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</si>
  <si>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</si>
  <si>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</si>
  <si>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</si>
  <si>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</si>
  <si>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</si>
  <si>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</si>
  <si>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</si>
  <si>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</si>
  <si>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</si>
  <si>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</si>
  <si>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</si>
  <si>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</si>
  <si>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</si>
  <si>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</si>
  <si>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</si>
  <si>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</si>
  <si>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</si>
  <si>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</si>
  <si>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</si>
  <si>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</si>
  <si>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</si>
  <si>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</si>
  <si>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</si>
  <si>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</si>
  <si>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</si>
  <si>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</si>
  <si>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</si>
  <si>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</si>
  <si>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</si>
  <si>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</si>
  <si>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</si>
  <si>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</si>
  <si>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</si>
  <si>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</si>
  <si>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</si>
  <si>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</si>
  <si>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</si>
  <si>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</si>
  <si>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</si>
  <si>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</si>
  <si>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</si>
  <si>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</si>
  <si>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</si>
  <si>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</si>
  <si>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</si>
  <si>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</si>
  <si>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</si>
  <si>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</si>
  <si>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</si>
  <si>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</si>
  <si>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</si>
  <si>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</si>
  <si>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</si>
  <si>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</si>
  <si>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</si>
  <si>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</si>
  <si>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</si>
  <si>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</si>
  <si>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</si>
  <si>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</si>
  <si>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</si>
  <si>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</si>
  <si>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</si>
  <si>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</si>
  <si>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</si>
  <si>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</si>
  <si>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</si>
  <si>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</si>
  <si>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</si>
  <si>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</si>
  <si>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</si>
  <si>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</si>
  <si>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</si>
  <si>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</si>
  <si>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</si>
  <si>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</si>
  <si>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</si>
  <si>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</si>
  <si>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</si>
  <si>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</si>
  <si>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</si>
  <si>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</si>
  <si>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</si>
  <si>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</si>
  <si>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</si>
  <si>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</si>
  <si>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</si>
  <si>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</si>
  <si>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</si>
  <si>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</si>
  <si>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</si>
  <si>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</si>
  <si>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</si>
  <si>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</si>
  <si>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</si>
  <si>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</si>
  <si>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</si>
  <si>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</si>
  <si>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</si>
  <si>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</si>
  <si>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</si>
  <si>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</si>
  <si>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</si>
  <si>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</si>
  <si>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</si>
  <si>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</si>
  <si>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</si>
  <si>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</si>
  <si>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</si>
  <si>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</si>
  <si>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</si>
  <si>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</si>
  <si>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</si>
  <si>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</si>
  <si>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</si>
  <si>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</si>
  <si>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</si>
  <si>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</si>
  <si>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</si>
  <si>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</si>
  <si>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</si>
  <si>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</si>
  <si>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</si>
  <si>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</si>
  <si>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</si>
  <si>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</si>
  <si>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</si>
  <si>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</si>
  <si>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</si>
  <si>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</si>
  <si>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</si>
  <si>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</si>
  <si>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</si>
  <si>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</si>
  <si>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</si>
  <si>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</si>
  <si>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</si>
  <si>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</si>
  <si>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</si>
  <si>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</si>
  <si>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</si>
  <si>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</si>
  <si>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</si>
  <si>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</si>
  <si>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</si>
  <si>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</si>
  <si>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</si>
  <si>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</si>
  <si>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</si>
  <si>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</si>
  <si>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</si>
  <si>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</si>
  <si>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</si>
  <si>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</si>
  <si>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</si>
  <si>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</si>
  <si>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</si>
  <si>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</si>
  <si>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</si>
  <si>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</si>
  <si>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</si>
  <si>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</si>
  <si>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</si>
  <si>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</si>
  <si>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</si>
  <si>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</si>
  <si>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</si>
  <si>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</si>
  <si>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</si>
  <si>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</si>
  <si>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</si>
  <si>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</si>
  <si>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</si>
  <si>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</si>
  <si>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</si>
  <si>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</si>
  <si>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</si>
  <si>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</si>
  <si>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</si>
  <si>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</si>
  <si>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</si>
  <si>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</si>
  <si>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</si>
  <si>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</si>
  <si>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</si>
  <si>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</si>
  <si>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</si>
  <si>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</si>
  <si>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</si>
  <si>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</si>
  <si>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</si>
  <si>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</si>
  <si>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</si>
  <si>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</si>
  <si>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</si>
  <si>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</si>
  <si>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</si>
  <si>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</si>
  <si>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</si>
  <si>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</si>
  <si>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</si>
  <si>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</si>
  <si>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</si>
  <si>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</si>
  <si>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</si>
  <si>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</si>
  <si>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</si>
  <si>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</si>
  <si>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</si>
  <si>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</si>
  <si>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</si>
  <si>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</si>
  <si>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</si>
  <si>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</si>
  <si>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</si>
  <si>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</si>
  <si>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</si>
  <si>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</si>
  <si>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</si>
  <si>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</si>
  <si>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</si>
  <si>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</si>
  <si>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</si>
  <si>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</si>
  <si>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</si>
  <si>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</si>
  <si>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</si>
  <si>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</si>
  <si>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</si>
  <si>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</si>
  <si>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</si>
  <si>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</si>
  <si>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</si>
  <si>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</si>
  <si>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</si>
  <si>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</si>
  <si>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</si>
  <si>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</si>
  <si>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</si>
  <si>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</si>
  <si>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</si>
  <si>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</si>
  <si>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</si>
  <si>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</si>
  <si>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</si>
  <si>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</si>
  <si>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</si>
  <si>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</si>
  <si>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</si>
  <si>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</si>
  <si>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</si>
  <si>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</si>
  <si>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</si>
  <si>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</si>
  <si>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</si>
  <si>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</si>
  <si>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</si>
  <si>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</si>
  <si>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</si>
  <si>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</si>
  <si>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</si>
  <si>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</si>
  <si>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</si>
  <si>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</si>
  <si>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</si>
  <si>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</si>
  <si>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</si>
  <si>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</si>
  <si>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</si>
  <si>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</si>
  <si>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</si>
  <si>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</si>
  <si>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</si>
  <si>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</si>
  <si>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</si>
  <si>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</si>
  <si>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</si>
  <si>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</si>
  <si>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</si>
  <si>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</si>
  <si>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</si>
  <si>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</si>
  <si>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</si>
  <si>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</si>
  <si>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</si>
  <si>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</si>
  <si>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</si>
  <si>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</si>
  <si>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</si>
  <si>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</si>
  <si>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</si>
  <si>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</si>
  <si>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</si>
  <si>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</si>
  <si>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</si>
  <si>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</si>
  <si>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</si>
  <si>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</si>
  <si>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</si>
  <si>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</si>
  <si>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</si>
  <si>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</si>
  <si>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</si>
  <si>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</si>
  <si>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</si>
  <si>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</si>
  <si>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</si>
  <si>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</si>
  <si>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</si>
  <si>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</si>
  <si>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</si>
  <si>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</si>
  <si>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</si>
  <si>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</si>
  <si>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</si>
  <si>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</si>
  <si>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</si>
  <si>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</si>
  <si>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</si>
  <si>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</si>
  <si>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</si>
  <si>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</si>
  <si>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</si>
  <si>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</si>
  <si>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</si>
  <si>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</si>
  <si>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</si>
  <si>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</si>
  <si>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</si>
  <si>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</si>
  <si>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</si>
  <si>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</si>
  <si>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</si>
  <si>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</si>
  <si>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</si>
  <si>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</si>
  <si>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</si>
  <si>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</si>
  <si>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</si>
  <si>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</si>
  <si>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</si>
  <si>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</si>
  <si>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</si>
  <si>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</si>
  <si>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</si>
  <si>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</si>
  <si>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</si>
  <si>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</si>
  <si>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</si>
  <si>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</si>
  <si>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</si>
  <si>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</si>
  <si>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</si>
  <si>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</si>
  <si>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</si>
  <si>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</si>
  <si>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</si>
  <si>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</si>
  <si>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</si>
  <si>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</si>
  <si>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</si>
  <si>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</si>
  <si>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</si>
  <si>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</si>
  <si>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</si>
  <si>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</si>
  <si>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</si>
  <si>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</si>
  <si>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</si>
  <si>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</si>
  <si>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</si>
  <si>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</si>
  <si>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</si>
  <si>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</si>
  <si>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</si>
  <si>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</si>
  <si>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</si>
  <si>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</si>
  <si>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</si>
  <si>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</si>
  <si>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</si>
  <si>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</si>
  <si>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</si>
  <si>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</si>
  <si>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</si>
  <si>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</si>
  <si>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</si>
  <si>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</si>
  <si>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</si>
  <si>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</si>
  <si>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</si>
  <si>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</si>
  <si>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</si>
  <si>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</si>
  <si>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</si>
  <si>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</si>
  <si>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</si>
  <si>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</si>
  <si>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</si>
  <si>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</si>
  <si>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</si>
  <si>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</si>
  <si>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</si>
  <si>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</si>
  <si>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</si>
  <si>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</si>
  <si>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</si>
  <si>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</si>
  <si>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</si>
  <si>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</si>
  <si>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</si>
  <si>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</si>
  <si>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</si>
  <si>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</si>
  <si>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</si>
  <si>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</si>
  <si>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</si>
  <si>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</si>
  <si>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</si>
  <si>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</si>
  <si>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</si>
  <si>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</si>
  <si>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</si>
  <si>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</si>
  <si>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</si>
  <si>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</si>
  <si>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</si>
  <si>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</si>
  <si>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</si>
  <si>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</si>
  <si>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</si>
  <si>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</si>
  <si>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</si>
  <si>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</si>
  <si>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</si>
  <si>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</si>
  <si>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</si>
  <si>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</si>
  <si>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</si>
  <si>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</si>
  <si>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</si>
  <si>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</si>
  <si>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</si>
  <si>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</si>
  <si>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</si>
  <si>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</si>
  <si>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</si>
  <si>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</si>
  <si>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</si>
  <si>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</si>
  <si>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</si>
  <si>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</si>
  <si>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</si>
  <si>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</si>
  <si>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</si>
  <si>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</si>
  <si>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</si>
  <si>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</si>
  <si>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</si>
  <si>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</si>
  <si>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</si>
  <si>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</si>
  <si>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</si>
  <si>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</si>
  <si>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</si>
  <si>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</si>
  <si>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</si>
  <si>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</si>
  <si>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</si>
  <si>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</si>
  <si>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</si>
  <si>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</si>
  <si>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</si>
  <si>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</si>
  <si>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</si>
  <si>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</si>
  <si>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</si>
  <si>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</si>
  <si>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</si>
  <si>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</si>
  <si>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</si>
  <si>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</si>
  <si>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</si>
  <si>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</si>
  <si>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</si>
  <si>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</si>
  <si>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</si>
  <si>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</si>
  <si>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</si>
  <si>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</si>
  <si>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</si>
  <si>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</si>
  <si>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</si>
  <si>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</si>
  <si>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</si>
  <si>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</si>
  <si>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</si>
  <si>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</si>
  <si>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</si>
  <si>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</si>
  <si>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</si>
  <si>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</si>
  <si>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</si>
  <si>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</si>
  <si>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</si>
  <si>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</si>
  <si>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</si>
  <si>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</si>
  <si>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</si>
  <si>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</si>
  <si>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</si>
  <si>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</si>
  <si>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</si>
  <si>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</si>
  <si>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</si>
  <si>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</si>
  <si>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</si>
  <si>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</si>
  <si>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</si>
  <si>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</si>
  <si>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</si>
  <si>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</si>
  <si>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</si>
  <si>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</si>
  <si>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</si>
  <si>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</si>
  <si>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</si>
  <si>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</si>
  <si>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</si>
  <si>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</si>
  <si>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</si>
  <si>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</si>
  <si>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</si>
  <si>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</si>
  <si>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</si>
  <si>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</si>
  <si>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</si>
  <si>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</si>
  <si>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</si>
  <si>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</si>
  <si>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</si>
  <si>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</si>
  <si>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</si>
  <si>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</si>
  <si>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</si>
  <si>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</si>
  <si>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</si>
  <si>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</si>
  <si>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</si>
  <si>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</si>
  <si>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</si>
  <si>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</si>
  <si>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</si>
  <si>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</si>
  <si>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</si>
  <si>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</si>
  <si>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</si>
  <si>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</si>
  <si>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</si>
  <si>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</si>
  <si>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</si>
  <si>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</si>
  <si>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</si>
  <si>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</si>
  <si>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</si>
  <si>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</si>
  <si>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</si>
  <si>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</si>
  <si>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</si>
  <si>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</si>
  <si>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</si>
  <si>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</si>
  <si>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</si>
  <si>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</si>
  <si>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</si>
  <si>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</si>
  <si>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</si>
  <si>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</si>
  <si>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</si>
  <si>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</si>
  <si>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</si>
  <si>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</si>
  <si>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</si>
  <si>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</si>
  <si>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</si>
  <si>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</si>
  <si>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</si>
  <si>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</si>
  <si>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</si>
  <si>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</si>
  <si>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</si>
  <si>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</si>
  <si>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</si>
  <si>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</si>
  <si>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</si>
  <si>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</si>
  <si>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</si>
  <si>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</si>
  <si>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</si>
  <si>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</si>
  <si>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</si>
  <si>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</si>
  <si>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</si>
  <si>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</si>
  <si>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</si>
  <si>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</si>
  <si>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</si>
  <si>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</si>
  <si>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</si>
  <si>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</si>
  <si>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</si>
  <si>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</si>
  <si>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</si>
  <si>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</si>
  <si>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</si>
  <si>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</si>
  <si>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</si>
  <si>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</si>
  <si>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</si>
  <si>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</si>
  <si>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</si>
  <si>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</si>
  <si>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</si>
  <si>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</si>
  <si>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</si>
  <si>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</si>
  <si>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</si>
  <si>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</si>
  <si>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</si>
  <si>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</si>
  <si>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</si>
  <si>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</si>
  <si>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</si>
  <si>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</si>
  <si>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</si>
  <si>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</si>
  <si>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</si>
  <si>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</si>
  <si>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</si>
  <si>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</si>
  <si>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</si>
  <si>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</si>
  <si>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</si>
  <si>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</si>
  <si>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</si>
  <si>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</si>
  <si>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</si>
  <si>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</si>
  <si>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</si>
  <si>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</si>
  <si>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</si>
  <si>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</si>
  <si>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</si>
  <si>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</si>
  <si>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</si>
  <si>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</si>
  <si>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</si>
  <si>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</si>
  <si>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</si>
  <si>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</si>
  <si>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</si>
  <si>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</si>
  <si>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</si>
  <si>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</si>
  <si>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</si>
  <si>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</si>
  <si>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</si>
  <si>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</si>
  <si>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</si>
  <si>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</si>
  <si>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</si>
  <si>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</si>
  <si>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</si>
  <si>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</si>
  <si>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</si>
  <si>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</si>
  <si>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</si>
  <si>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</si>
  <si>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</si>
  <si>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</si>
  <si>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</si>
  <si>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</si>
  <si>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</si>
  <si>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</si>
  <si>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</si>
  <si>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</si>
  <si>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</si>
  <si>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</si>
  <si>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</si>
  <si>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</si>
  <si>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</si>
  <si>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</si>
  <si>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</si>
  <si>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</si>
  <si>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</si>
  <si>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</si>
  <si>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</si>
  <si>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</si>
  <si>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</si>
  <si>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</si>
  <si>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</si>
  <si>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</si>
  <si>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</si>
  <si>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</si>
  <si>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</si>
  <si>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</si>
  <si>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</si>
  <si>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</si>
  <si>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</si>
  <si>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</si>
  <si>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</si>
  <si>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</si>
  <si>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</si>
  <si>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</si>
  <si>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</si>
  <si>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</si>
  <si>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</si>
  <si>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</si>
  <si>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</si>
  <si>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</si>
  <si>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</si>
  <si>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</si>
  <si>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</si>
  <si>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</si>
  <si>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</si>
  <si>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</si>
  <si>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</si>
  <si>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</si>
  <si>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</si>
  <si>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</si>
  <si>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</si>
  <si>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</si>
  <si>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</si>
  <si>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</si>
  <si>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</si>
  <si>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</si>
  <si>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</si>
  <si>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</si>
  <si>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</si>
  <si>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</si>
  <si>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</si>
  <si>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</si>
  <si>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</si>
  <si>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</si>
  <si>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</si>
  <si>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</si>
  <si>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</si>
  <si>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</si>
  <si>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</si>
  <si>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</si>
  <si>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</si>
  <si>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</si>
  <si>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</si>
  <si>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</si>
  <si>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</si>
  <si>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</si>
  <si>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</si>
  <si>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</si>
  <si>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</si>
  <si>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</si>
  <si>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</si>
  <si>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</si>
  <si>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</si>
  <si>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</si>
  <si>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</si>
  <si>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</si>
  <si>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</si>
  <si>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</si>
  <si>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</si>
  <si>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</si>
  <si>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</si>
  <si>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</si>
  <si>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</si>
  <si>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</si>
  <si>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</si>
  <si>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</si>
  <si>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</si>
  <si>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</si>
  <si>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</si>
  <si>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</si>
  <si>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</si>
  <si>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</si>
  <si>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</si>
  <si>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</si>
  <si>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</si>
  <si>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</si>
  <si>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</si>
  <si>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</si>
  <si>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</si>
  <si>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</si>
  <si>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</si>
  <si>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</si>
  <si>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</si>
  <si>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</si>
  <si>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</si>
  <si>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</si>
  <si>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</si>
  <si>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</si>
  <si>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</si>
  <si>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</si>
  <si>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</si>
  <si>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</si>
  <si>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</si>
  <si>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</si>
  <si>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</si>
  <si>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</si>
  <si>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</si>
  <si>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</si>
  <si>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</si>
  <si>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</si>
  <si>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</si>
  <si>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</si>
  <si>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</si>
  <si>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</si>
  <si>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</si>
  <si>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</si>
  <si>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</si>
  <si>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</si>
  <si>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</si>
  <si>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</si>
  <si>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</si>
  <si>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</si>
  <si>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</si>
  <si>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</si>
  <si>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</si>
  <si>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</si>
  <si>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</si>
  <si>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</si>
  <si>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</si>
  <si>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</si>
  <si>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</si>
  <si>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</si>
  <si>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</si>
  <si>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</si>
  <si>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</si>
  <si>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</si>
  <si>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</si>
  <si>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</si>
  <si>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</si>
  <si>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</si>
  <si>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</si>
  <si>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</si>
  <si>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</si>
  <si>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</si>
  <si>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</si>
  <si>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</si>
  <si>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</si>
  <si>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</si>
  <si>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</si>
  <si>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</si>
  <si>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</si>
  <si>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</si>
  <si>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</si>
  <si>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</si>
  <si>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</si>
  <si>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</si>
  <si>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</si>
  <si>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</si>
  <si>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</si>
  <si>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</si>
  <si>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</si>
  <si>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</si>
  <si>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</si>
  <si>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</si>
  <si>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</si>
  <si>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</si>
  <si>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</si>
  <si>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</si>
  <si>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</si>
  <si>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</si>
  <si>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</si>
  <si>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</si>
  <si>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</si>
  <si>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</si>
  <si>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</si>
  <si>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</si>
  <si>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</si>
  <si>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</si>
  <si>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</si>
  <si>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</si>
  <si>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</si>
  <si>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</si>
  <si>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</si>
  <si>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</si>
  <si>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</si>
  <si>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</si>
  <si>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</si>
  <si>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</si>
  <si>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</si>
  <si>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</si>
  <si>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</si>
  <si>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</si>
  <si>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</si>
  <si>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</si>
  <si>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</si>
  <si>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</si>
  <si>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</si>
  <si>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</si>
  <si>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</si>
  <si>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</si>
  <si>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</si>
  <si>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</si>
  <si>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</si>
  <si>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</si>
  <si>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</si>
  <si>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</si>
  <si>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</si>
  <si>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</si>
  <si>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</si>
  <si>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</si>
  <si>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</si>
  <si>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</si>
  <si>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</si>
  <si>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</si>
  <si>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</si>
  <si>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</si>
  <si>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</si>
  <si>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</si>
  <si>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</si>
  <si>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</si>
  <si>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</si>
  <si>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</si>
  <si>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</si>
  <si>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</si>
  <si>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</si>
  <si>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</si>
  <si>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</si>
  <si>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</si>
  <si>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</si>
  <si>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</si>
  <si>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</si>
  <si>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</si>
  <si>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</si>
  <si>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</si>
  <si>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</si>
  <si>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</si>
  <si>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</si>
  <si>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</si>
  <si>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</si>
  <si>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</si>
  <si>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</si>
  <si>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</si>
  <si>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</si>
  <si>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</si>
  <si>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</si>
  <si>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</si>
  <si>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</si>
  <si>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</si>
  <si>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</si>
  <si>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</si>
  <si>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</si>
  <si>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</si>
  <si>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</si>
  <si>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</si>
  <si>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</si>
  <si>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</si>
  <si>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</si>
  <si>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</si>
  <si>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</si>
  <si>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</si>
  <si>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</si>
  <si>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</si>
  <si>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</si>
  <si>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</si>
  <si>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</si>
  <si>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</si>
  <si>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</si>
  <si>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</si>
  <si>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</si>
  <si>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</si>
  <si>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</si>
  <si>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</si>
  <si>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</si>
  <si>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</si>
  <si>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</si>
  <si>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</si>
  <si>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</si>
  <si>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</si>
  <si>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</si>
  <si>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</si>
  <si>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</si>
  <si>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</si>
  <si>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</si>
  <si>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</si>
  <si>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</si>
  <si>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</si>
  <si>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</si>
  <si>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</si>
  <si>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</si>
  <si>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</si>
  <si>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</si>
  <si>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</si>
  <si>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</si>
  <si>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</si>
  <si>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</si>
  <si>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</si>
  <si>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</si>
  <si>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</si>
  <si>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</si>
  <si>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</si>
  <si>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</si>
  <si>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</si>
  <si>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</si>
  <si>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</si>
  <si>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</si>
  <si>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</si>
  <si>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</si>
  <si>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</si>
  <si>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</si>
  <si>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</si>
  <si>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</si>
  <si>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</si>
  <si>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</si>
  <si>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</si>
  <si>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</si>
  <si>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</si>
  <si>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</si>
  <si>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</si>
  <si>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</si>
  <si>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</si>
  <si>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</si>
  <si>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</si>
  <si>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</si>
  <si>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</si>
  <si>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</si>
  <si>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</si>
  <si>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</si>
  <si>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</si>
  <si>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</si>
  <si>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</si>
  <si>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</si>
  <si>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</si>
  <si>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</si>
  <si>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</si>
  <si>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</si>
  <si>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</si>
  <si>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</si>
  <si>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</si>
  <si>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</si>
  <si>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</si>
  <si>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</si>
  <si>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</si>
  <si>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</si>
  <si>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</si>
  <si>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</si>
  <si>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</si>
  <si>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</si>
  <si>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</si>
  <si>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</si>
  <si>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</si>
  <si>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</si>
  <si>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</si>
  <si>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</si>
  <si>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</si>
  <si>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</si>
  <si>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</si>
  <si>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</si>
  <si>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</si>
  <si>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</si>
  <si>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</si>
  <si>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</si>
  <si>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</si>
  <si>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</si>
  <si>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</si>
  <si>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</si>
  <si>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</si>
  <si>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</si>
  <si>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</si>
  <si>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</si>
  <si>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</si>
  <si>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</si>
  <si>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</si>
  <si>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</si>
  <si>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</si>
  <si>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</si>
  <si>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</si>
  <si>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</si>
  <si>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</si>
  <si>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</si>
  <si>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</si>
  <si>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</si>
  <si>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</si>
  <si>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</si>
  <si>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</si>
  <si>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</si>
  <si>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</si>
  <si>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</si>
  <si>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</si>
  <si>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</si>
  <si>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</si>
  <si>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</si>
  <si>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</si>
  <si>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</si>
  <si>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</si>
  <si>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</si>
  <si>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</si>
  <si>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</si>
  <si>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</si>
  <si>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</si>
  <si>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</si>
  <si>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</si>
  <si>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</si>
  <si>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</si>
  <si>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</si>
  <si>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</si>
  <si>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</si>
  <si>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</si>
  <si>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</si>
  <si>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</si>
  <si>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</si>
  <si>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</si>
  <si>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</si>
  <si>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</si>
  <si>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</si>
  <si>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</si>
  <si>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</si>
  <si>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</si>
  <si>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</si>
  <si>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</si>
  <si>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</si>
  <si>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</si>
  <si>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</si>
  <si>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</si>
  <si>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</si>
  <si>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</si>
  <si>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</si>
  <si>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</si>
  <si>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</si>
  <si>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</si>
  <si>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</si>
  <si>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</si>
  <si>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</si>
  <si>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</si>
  <si>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</si>
  <si>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</si>
  <si>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</si>
  <si>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</si>
  <si>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</si>
  <si>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</si>
  <si>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</si>
  <si>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</si>
  <si>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</si>
  <si>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</si>
  <si>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</si>
  <si>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</si>
  <si>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</si>
  <si>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</si>
  <si>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</si>
  <si>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</si>
  <si>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</si>
  <si>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</si>
  <si>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</si>
  <si>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</si>
  <si>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</si>
  <si>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</si>
  <si>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</si>
  <si>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</si>
  <si>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</si>
  <si>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</si>
  <si>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</si>
  <si>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</si>
  <si>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</si>
  <si>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</si>
  <si>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</si>
  <si>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</si>
  <si>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</si>
  <si>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</si>
  <si>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</si>
  <si>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</si>
  <si>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</si>
  <si>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</si>
  <si>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</si>
  <si>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</si>
  <si>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</si>
  <si>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</si>
  <si>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</si>
  <si>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</si>
  <si>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</si>
  <si>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</si>
  <si>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</si>
  <si>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</si>
  <si>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</si>
  <si>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</si>
  <si>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</si>
  <si>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</si>
  <si>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</si>
  <si>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</si>
  <si>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</si>
  <si>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</si>
  <si>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</si>
  <si>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</si>
  <si>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</si>
  <si>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</si>
  <si>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</si>
  <si>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</si>
  <si>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</si>
  <si>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</si>
  <si>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</si>
  <si>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</si>
  <si>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</si>
  <si>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</si>
  <si>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</si>
  <si>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</si>
  <si>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</si>
  <si>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</si>
  <si>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</si>
  <si>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</si>
  <si>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</si>
  <si>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</si>
  <si>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</si>
  <si>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</si>
  <si>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</si>
  <si>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</si>
  <si>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</si>
  <si>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</si>
  <si>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</si>
  <si>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</si>
  <si>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</si>
  <si>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</si>
  <si>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</si>
  <si>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</si>
  <si>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</si>
  <si>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</si>
  <si>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</si>
  <si>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</si>
  <si>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</si>
  <si>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</si>
  <si>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</si>
  <si>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</si>
  <si>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</si>
  <si>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</si>
  <si>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</si>
  <si>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</si>
  <si>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</si>
  <si>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</si>
  <si>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</si>
  <si>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</si>
  <si>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</si>
  <si>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</si>
  <si>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</si>
  <si>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</si>
  <si>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</si>
  <si>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</si>
  <si>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</si>
  <si>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</si>
  <si>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</si>
  <si>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</si>
  <si>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</si>
  <si>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</si>
  <si>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</si>
  <si>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</si>
  <si>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</si>
  <si>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</si>
  <si>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</si>
  <si>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</si>
  <si>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</si>
  <si>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</si>
  <si>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</si>
  <si>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</si>
  <si>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</si>
  <si>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</si>
  <si>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</si>
  <si>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</si>
  <si>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</si>
  <si>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</si>
  <si>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</si>
  <si>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</si>
  <si>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</si>
  <si>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</si>
  <si>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</si>
  <si>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</si>
  <si>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</si>
  <si>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</si>
  <si>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</si>
  <si>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</si>
  <si>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</si>
  <si>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</si>
  <si>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</si>
  <si>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</si>
  <si>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</si>
  <si>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</si>
  <si>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</si>
  <si>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</si>
  <si>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</si>
  <si>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</si>
  <si>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</si>
  <si>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</si>
  <si>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</si>
  <si>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</si>
  <si>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</si>
  <si>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</si>
  <si>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</si>
  <si>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</si>
  <si>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</si>
  <si>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</si>
  <si>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</si>
  <si>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</si>
  <si>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</si>
  <si>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</si>
  <si>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</si>
  <si>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</si>
  <si>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</si>
  <si>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</si>
  <si>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</si>
  <si>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</si>
  <si>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</si>
  <si>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</si>
  <si>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</si>
  <si>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</si>
  <si>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</si>
  <si>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</si>
  <si>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</si>
  <si>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</si>
  <si>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</si>
  <si>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</si>
  <si>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</si>
  <si>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</si>
  <si>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</si>
  <si>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</si>
  <si>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</si>
  <si>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</si>
  <si>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</si>
  <si>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</si>
  <si>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</si>
  <si>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</si>
  <si>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</si>
  <si>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</si>
  <si>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</si>
  <si>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</si>
  <si>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</si>
  <si>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</si>
  <si>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</si>
  <si>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</si>
  <si>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</si>
  <si>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</si>
  <si>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</si>
  <si>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</si>
  <si>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</si>
  <si>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</si>
  <si>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</si>
  <si>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</si>
  <si>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</si>
  <si>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</si>
  <si>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</si>
  <si>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</si>
  <si>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</si>
  <si>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</si>
  <si>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</si>
  <si>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</si>
  <si>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</si>
  <si>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</si>
  <si>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</si>
  <si>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</si>
  <si>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</si>
  <si>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</si>
  <si>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</si>
  <si>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</si>
  <si>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</si>
  <si>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</si>
  <si>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</si>
  <si>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</si>
  <si>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</si>
  <si>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</si>
  <si>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</si>
  <si>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</si>
  <si>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</si>
  <si>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</si>
  <si>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</si>
  <si>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</si>
  <si>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</si>
  <si>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</si>
  <si>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</si>
  <si>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</si>
  <si>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</si>
  <si>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</si>
  <si>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</si>
  <si>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</si>
  <si>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</si>
  <si>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</si>
  <si>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</si>
  <si>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</si>
  <si>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</si>
  <si>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</si>
  <si>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</si>
  <si>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</si>
  <si>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</si>
  <si>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</si>
  <si>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</si>
  <si>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</si>
  <si>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</si>
  <si>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</si>
  <si>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</si>
  <si>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</si>
  <si>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</si>
  <si>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</si>
  <si>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</si>
  <si>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</si>
  <si>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</si>
  <si>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</si>
  <si>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</si>
  <si>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</si>
  <si>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</si>
  <si>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</si>
  <si>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</si>
  <si>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</si>
  <si>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</si>
  <si>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</si>
  <si>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</si>
  <si>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</si>
  <si>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</si>
  <si>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</si>
  <si>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</si>
  <si>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</si>
  <si>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</si>
  <si>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</si>
  <si>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</si>
  <si>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</si>
  <si>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</si>
  <si>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</si>
  <si>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</si>
  <si>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</si>
  <si>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</si>
  <si>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</si>
  <si>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</si>
  <si>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</si>
  <si>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</si>
  <si>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</si>
  <si>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</si>
  <si>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</si>
  <si>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</si>
  <si>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</si>
  <si>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</si>
  <si>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</si>
  <si>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</si>
  <si>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</si>
  <si>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</si>
  <si>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</si>
  <si>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</si>
  <si>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</si>
  <si>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</si>
  <si>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</si>
  <si>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</si>
  <si>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</si>
  <si>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</si>
  <si>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</si>
  <si>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</si>
  <si>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</si>
  <si>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</si>
  <si>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</si>
  <si>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</si>
  <si>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</si>
  <si>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</si>
  <si>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</si>
  <si>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</si>
  <si>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</si>
  <si>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</si>
  <si>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</si>
  <si>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</si>
  <si>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</si>
  <si>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</si>
  <si>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</si>
  <si>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</si>
  <si>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</si>
  <si>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</si>
  <si>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</si>
  <si>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</si>
  <si>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</si>
  <si>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</si>
  <si>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</si>
  <si>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</si>
  <si>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</si>
  <si>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</si>
  <si>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</si>
  <si>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</si>
  <si>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</si>
  <si>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</si>
  <si>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</si>
  <si>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</si>
  <si>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</si>
  <si>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</si>
  <si>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</si>
  <si>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</si>
  <si>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</si>
  <si>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</si>
  <si>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</si>
  <si>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</si>
  <si>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</si>
  <si>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</si>
  <si>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</si>
  <si>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</si>
  <si>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</si>
  <si>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</si>
  <si>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</si>
  <si>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</si>
  <si>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</si>
  <si>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</si>
  <si>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</si>
  <si>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</si>
  <si>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</si>
  <si>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</si>
  <si>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</si>
  <si>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</si>
  <si>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</si>
  <si>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</si>
  <si>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</si>
  <si>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</si>
  <si>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</si>
  <si>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</si>
  <si>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</si>
  <si>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</si>
  <si>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</si>
  <si>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</si>
  <si>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</si>
  <si>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</si>
  <si>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</si>
  <si>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</si>
  <si>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</si>
  <si>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</si>
  <si>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</si>
  <si>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</si>
  <si>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</si>
  <si>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</si>
  <si>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</si>
  <si>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</si>
  <si>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</si>
  <si>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</si>
  <si>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</si>
  <si>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</si>
  <si>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</si>
  <si>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</si>
  <si>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</si>
  <si>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</si>
  <si>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</si>
  <si>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</si>
  <si>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</si>
  <si>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</si>
  <si>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</si>
  <si>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</si>
  <si>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</si>
  <si>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</si>
  <si>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</si>
  <si>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</si>
  <si>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</si>
  <si>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</si>
  <si>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</si>
  <si>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</si>
  <si>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</si>
  <si>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</si>
  <si>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</si>
  <si>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</si>
  <si>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</si>
  <si>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</si>
  <si>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</si>
  <si>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</si>
  <si>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</si>
  <si>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</si>
  <si>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</si>
  <si>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</si>
  <si>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</si>
  <si>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</si>
  <si>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</si>
  <si>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</si>
  <si>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</si>
  <si>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</si>
  <si>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</si>
  <si>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</si>
  <si>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</si>
  <si>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</si>
  <si>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</si>
  <si>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</si>
  <si>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</si>
  <si>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</si>
  <si>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</si>
  <si>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</si>
  <si>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</si>
  <si>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</si>
  <si>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</si>
  <si>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</si>
  <si>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</si>
  <si>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</si>
  <si>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</si>
  <si>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</si>
  <si>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</si>
  <si>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</si>
  <si>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</si>
  <si>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</si>
  <si>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</si>
  <si>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</si>
  <si>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</si>
  <si>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</si>
  <si>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</si>
  <si>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</si>
  <si>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</si>
  <si>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</si>
  <si>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</si>
  <si>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</si>
  <si>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</si>
  <si>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</si>
  <si>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</si>
  <si>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</si>
  <si>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</si>
  <si>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</si>
  <si>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</si>
  <si>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</si>
  <si>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</si>
  <si>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</si>
  <si>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</si>
  <si>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</si>
  <si>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</si>
  <si>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</si>
  <si>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</si>
  <si>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</si>
  <si>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</si>
  <si>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</si>
  <si>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</si>
  <si>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</si>
  <si>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</si>
  <si>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</si>
  <si>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</si>
  <si>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</si>
  <si>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</si>
  <si>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</si>
  <si>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</si>
  <si>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</si>
  <si>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</si>
  <si>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</si>
  <si>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</si>
  <si>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</si>
  <si>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</si>
  <si>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</si>
  <si>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</si>
  <si>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</si>
  <si>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</si>
  <si>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</si>
  <si>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</si>
  <si>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</si>
  <si>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</si>
  <si>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</si>
  <si>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</si>
  <si>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</si>
  <si>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</si>
  <si>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</si>
  <si>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</si>
  <si>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</si>
  <si>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</si>
  <si>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</si>
  <si>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</si>
  <si>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</si>
  <si>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</si>
  <si>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</si>
  <si>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</si>
  <si>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</si>
  <si>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</si>
  <si>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</si>
  <si>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</si>
  <si>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</si>
  <si>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</si>
  <si>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</si>
  <si>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</si>
  <si>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</si>
  <si>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</si>
  <si>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</si>
  <si>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</si>
  <si>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</si>
  <si>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</si>
  <si>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</si>
  <si>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</si>
  <si>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</si>
  <si>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</si>
  <si>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</si>
  <si>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</si>
  <si>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</si>
  <si>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</si>
  <si>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</si>
  <si>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</si>
  <si>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</si>
  <si>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</si>
  <si>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</si>
  <si>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</si>
  <si>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</si>
  <si>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</si>
  <si>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</si>
  <si>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</si>
  <si>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</si>
  <si>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</si>
  <si>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</si>
  <si>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</si>
  <si>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</si>
  <si>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</si>
  <si>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</si>
  <si>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</si>
  <si>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</si>
  <si>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</si>
  <si>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</si>
  <si>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</si>
  <si>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</si>
  <si>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</si>
  <si>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</si>
  <si>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</si>
  <si>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</si>
  <si>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</si>
  <si>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</si>
  <si>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</si>
  <si>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</si>
  <si>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</si>
  <si>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</si>
  <si>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</si>
  <si>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</si>
  <si>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</si>
  <si>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</si>
  <si>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</si>
  <si>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</si>
  <si>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</si>
  <si>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</si>
  <si>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</si>
  <si>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</si>
  <si>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</si>
  <si>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</si>
  <si>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</si>
  <si>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</si>
  <si>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</si>
  <si>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</si>
  <si>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</si>
  <si>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</si>
  <si>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</si>
  <si>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</si>
  <si>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</si>
  <si>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</si>
  <si>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</si>
  <si>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</si>
  <si>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</si>
  <si>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</si>
  <si>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</si>
  <si>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</si>
  <si>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</si>
  <si>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</si>
  <si>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</si>
  <si>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</si>
  <si>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</si>
  <si>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</si>
  <si>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</si>
  <si>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</si>
  <si>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</si>
  <si>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</si>
  <si>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</si>
  <si>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</si>
  <si>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</si>
  <si>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</si>
  <si>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</si>
  <si>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</si>
  <si>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</si>
  <si>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</si>
  <si>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</si>
  <si>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</si>
  <si>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</si>
  <si>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</si>
  <si>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</si>
  <si>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</si>
  <si>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</si>
  <si>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</si>
  <si>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</si>
  <si>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</si>
  <si>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</si>
  <si>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</si>
  <si>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</si>
  <si>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</si>
  <si>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</si>
  <si>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</si>
  <si>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</si>
  <si>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</si>
  <si>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</si>
  <si>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</si>
  <si>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</si>
  <si>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</si>
  <si>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</si>
  <si>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</si>
  <si>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</si>
  <si>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</si>
  <si>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</si>
  <si>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</si>
  <si>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</si>
  <si>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</si>
  <si>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</si>
  <si>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</si>
  <si>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</si>
  <si>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</si>
  <si>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</si>
  <si>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</si>
  <si>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</si>
  <si>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</si>
  <si>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</si>
  <si>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</si>
  <si>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</si>
  <si>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</si>
  <si>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</si>
  <si>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</si>
  <si>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</si>
  <si>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</si>
  <si>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</si>
  <si>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</si>
  <si>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</si>
  <si>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</si>
  <si>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</si>
  <si>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</si>
  <si>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</si>
  <si>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</si>
  <si>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</si>
  <si>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</si>
  <si>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</si>
  <si>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</si>
  <si>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</si>
  <si>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</si>
  <si>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</si>
  <si>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</si>
  <si>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</si>
  <si>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</si>
  <si>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</si>
  <si>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</si>
  <si>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</si>
  <si>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</si>
  <si>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</si>
  <si>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</si>
  <si>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</si>
  <si>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</si>
  <si>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</si>
  <si>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</si>
  <si>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</si>
  <si>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</si>
  <si>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</si>
  <si>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</si>
  <si>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</si>
  <si>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</si>
  <si>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</si>
  <si>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</si>
  <si>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</si>
  <si>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</si>
  <si>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</si>
  <si>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</si>
  <si>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</si>
  <si>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</si>
  <si>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</si>
  <si>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</si>
  <si>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</si>
  <si>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</si>
  <si>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</si>
  <si>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</si>
  <si>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</si>
  <si>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</si>
  <si>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</si>
  <si>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</si>
  <si>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</si>
  <si>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</si>
  <si>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</si>
  <si>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</si>
  <si>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</si>
  <si>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</si>
  <si>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</si>
  <si>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</si>
  <si>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</si>
  <si>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</si>
  <si>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</si>
  <si>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</si>
  <si>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</si>
  <si>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</si>
  <si>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</si>
  <si>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</si>
  <si>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</si>
  <si>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</si>
  <si>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</si>
  <si>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</si>
  <si>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</si>
  <si>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</si>
  <si>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</si>
  <si>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</si>
  <si>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</si>
  <si>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</si>
  <si>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</si>
  <si>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</si>
  <si>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</si>
  <si>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</si>
  <si>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</si>
  <si>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</si>
  <si>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</si>
  <si>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</si>
  <si>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</si>
  <si>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</si>
  <si>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</si>
  <si>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</si>
  <si>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</si>
  <si>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</si>
  <si>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</si>
  <si>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</si>
  <si>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</si>
  <si>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</si>
  <si>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</si>
  <si>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</si>
  <si>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</si>
  <si>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</si>
  <si>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</si>
  <si>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</si>
  <si>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</si>
  <si>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</si>
  <si>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</si>
  <si>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</si>
  <si>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</si>
  <si>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</si>
  <si>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</si>
  <si>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</si>
  <si>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</si>
  <si>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</si>
  <si>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</si>
  <si>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</si>
  <si>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</si>
  <si>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</si>
  <si>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</si>
  <si>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</si>
  <si>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</si>
  <si>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</si>
  <si>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</si>
  <si>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</si>
  <si>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</si>
  <si>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</si>
  <si>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</si>
  <si>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</si>
  <si>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</si>
  <si>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</si>
  <si>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</si>
  <si>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</si>
  <si>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</si>
  <si>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</si>
  <si>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</si>
  <si>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</si>
  <si>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</si>
  <si>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</si>
  <si>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</si>
  <si>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</si>
  <si>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</si>
  <si>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</si>
  <si>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</si>
  <si>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</si>
  <si>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</si>
  <si>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</si>
  <si>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</si>
  <si>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</si>
  <si>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</si>
  <si>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</si>
  <si>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</si>
  <si>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</si>
  <si>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</si>
  <si>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</si>
  <si>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</si>
  <si>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</si>
  <si>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</si>
  <si>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</si>
  <si>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</si>
  <si>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</si>
  <si>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</si>
  <si>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</si>
  <si>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</si>
  <si>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</si>
  <si>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</si>
  <si>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</si>
  <si>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</si>
  <si>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</si>
  <si>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</si>
  <si>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</si>
  <si>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</si>
  <si>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</si>
  <si>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</si>
  <si>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</si>
  <si>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</si>
  <si>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</si>
  <si>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</si>
  <si>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</si>
  <si>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</si>
  <si>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</si>
  <si>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</si>
  <si>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</si>
  <si>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</si>
  <si>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</si>
  <si>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</si>
  <si>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</si>
  <si>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</si>
  <si>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</si>
  <si>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</si>
  <si>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</si>
  <si>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</si>
  <si>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</si>
  <si>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</si>
  <si>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</si>
  <si>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</si>
  <si>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</si>
  <si>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</si>
  <si>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</si>
  <si>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</si>
  <si>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</si>
  <si>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</si>
  <si>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</si>
  <si>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</si>
  <si>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</si>
  <si>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</si>
  <si>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</si>
  <si>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</si>
  <si>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</si>
  <si>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</si>
  <si>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</si>
  <si>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</si>
  <si>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</si>
  <si>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</si>
  <si>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</si>
  <si>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</si>
  <si>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</si>
  <si>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</si>
  <si>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</si>
  <si>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</si>
  <si>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</si>
  <si>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</si>
  <si>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</si>
  <si>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</si>
  <si>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</si>
  <si>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</si>
  <si>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</si>
  <si>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</si>
  <si>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</si>
  <si>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</si>
  <si>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</si>
  <si>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</si>
  <si>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</si>
  <si>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</si>
  <si>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</si>
  <si>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</si>
  <si>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</si>
  <si>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</si>
  <si>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</si>
  <si>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</si>
  <si>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</si>
  <si>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</si>
  <si>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</si>
  <si>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</si>
  <si>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</si>
  <si>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</si>
  <si>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</si>
  <si>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</si>
  <si>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</si>
  <si>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</si>
  <si>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</si>
  <si>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</si>
  <si>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</si>
  <si>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</si>
  <si>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</si>
  <si>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</si>
  <si>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</si>
  <si>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</si>
  <si>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</si>
  <si>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</si>
  <si>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</si>
  <si>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</si>
  <si>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</si>
  <si>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</si>
  <si>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</si>
  <si>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</si>
  <si>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</si>
  <si>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</si>
  <si>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</si>
  <si>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</si>
  <si>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</si>
  <si>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</si>
  <si>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</si>
  <si>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</si>
  <si>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</si>
  <si>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</si>
  <si>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</si>
  <si>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</si>
  <si>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</si>
  <si>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</si>
  <si>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</si>
  <si>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</si>
  <si>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</si>
  <si>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</si>
  <si>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</si>
  <si>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</si>
  <si>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</si>
  <si>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</si>
  <si>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</si>
  <si>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</si>
  <si>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</si>
  <si>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</si>
  <si>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</si>
  <si>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</si>
  <si>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</si>
  <si>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</si>
  <si>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</si>
  <si>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</si>
  <si>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</si>
  <si>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</si>
  <si>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</si>
  <si>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</si>
  <si>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</si>
  <si>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</si>
  <si>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</si>
  <si>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</si>
  <si>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</si>
  <si>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</si>
  <si>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</si>
  <si>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</si>
  <si>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</si>
  <si>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</si>
  <si>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</si>
  <si>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</si>
  <si>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</si>
  <si>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</si>
  <si>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</si>
  <si>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</si>
  <si>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</si>
  <si>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</si>
  <si>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</si>
  <si>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</si>
  <si>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</si>
  <si>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</si>
  <si>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</si>
  <si>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</si>
  <si>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</si>
  <si>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</si>
  <si>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</si>
  <si>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</si>
  <si>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</si>
  <si>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</si>
  <si>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</si>
  <si>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</si>
  <si>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</si>
  <si>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</si>
  <si>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</si>
  <si>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</si>
  <si>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</si>
  <si>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</si>
  <si>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</si>
  <si>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</si>
  <si>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</si>
  <si>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</si>
  <si>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</si>
  <si>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</si>
  <si>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</si>
  <si>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</si>
  <si>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</si>
  <si>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</si>
  <si>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</si>
  <si>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</si>
  <si>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</si>
  <si>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</si>
  <si>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</si>
  <si>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</si>
  <si>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</si>
  <si>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</si>
  <si>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</si>
  <si>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</si>
  <si>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</si>
  <si>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</si>
  <si>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</si>
  <si>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</si>
  <si>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</si>
  <si>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</si>
  <si>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</si>
  <si>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</si>
  <si>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</si>
  <si>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</si>
  <si>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</si>
  <si>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</si>
  <si>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</si>
  <si>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</si>
  <si>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</si>
  <si>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</si>
  <si>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</si>
  <si>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</si>
  <si>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</si>
  <si>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</si>
  <si>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</si>
  <si>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</si>
  <si>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</si>
  <si>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</si>
  <si>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</si>
  <si>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</si>
  <si>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</si>
  <si>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</si>
  <si>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</si>
  <si>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</si>
  <si>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</si>
  <si>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</si>
  <si>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</si>
  <si>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</si>
  <si>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</si>
  <si>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</si>
  <si>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</si>
  <si>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</si>
  <si>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</si>
  <si>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</si>
  <si>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</si>
  <si>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</si>
  <si>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</si>
  <si>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</si>
  <si>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</si>
  <si>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</si>
  <si>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</si>
  <si>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</si>
  <si>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</si>
  <si>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</si>
  <si>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</si>
  <si>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</si>
  <si>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</si>
  <si>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</si>
  <si>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</si>
  <si>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</si>
  <si>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</si>
  <si>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</si>
  <si>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</si>
  <si>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</si>
  <si>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</si>
  <si>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</si>
  <si>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</si>
  <si>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</si>
  <si>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</si>
  <si>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</si>
  <si>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</si>
  <si>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</si>
  <si>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</si>
  <si>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</si>
  <si>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</si>
  <si>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</si>
  <si>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</si>
  <si>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</si>
  <si>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</si>
  <si>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</si>
  <si>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</si>
  <si>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</si>
  <si>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</si>
  <si>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</si>
  <si>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</si>
  <si>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</si>
  <si>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</si>
  <si>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</si>
  <si>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</si>
  <si>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</si>
  <si>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</si>
  <si>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</si>
  <si>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</si>
  <si>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</si>
  <si>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</si>
  <si>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</si>
  <si>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</si>
  <si>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</si>
  <si>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</si>
  <si>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</si>
  <si>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</si>
  <si>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</si>
  <si>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</si>
  <si>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</si>
  <si>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</si>
  <si>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</si>
  <si>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</si>
  <si>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</si>
  <si>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</si>
  <si>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</si>
  <si>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</si>
  <si>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</si>
  <si>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</si>
  <si>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</si>
  <si>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</si>
  <si>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</si>
  <si>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</si>
  <si>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</si>
  <si>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</si>
  <si>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</si>
  <si>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</si>
  <si>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</si>
  <si>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</si>
  <si>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</si>
  <si>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</si>
  <si>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</si>
  <si>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</si>
  <si>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</si>
  <si>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</si>
  <si>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</si>
  <si>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</si>
  <si>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</si>
  <si>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</si>
  <si>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</si>
  <si>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</si>
  <si>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</si>
  <si>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</si>
  <si>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</si>
  <si>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</si>
  <si>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</si>
  <si>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</si>
  <si>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</si>
  <si>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</si>
  <si>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</si>
  <si>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</si>
  <si>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</si>
  <si>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</si>
  <si>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</si>
  <si>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</si>
  <si>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</si>
  <si>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</si>
  <si>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</si>
  <si>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</si>
  <si>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</si>
  <si>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</si>
  <si>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</si>
  <si>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</si>
  <si>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</si>
  <si>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</si>
  <si>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</si>
  <si>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</si>
  <si>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</si>
  <si>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</si>
  <si>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</si>
  <si>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</si>
  <si>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</si>
  <si>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</si>
  <si>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</si>
  <si>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</si>
  <si>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</si>
  <si>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</si>
  <si>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</si>
  <si>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</si>
  <si>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</si>
  <si>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</si>
  <si>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</si>
  <si>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</si>
  <si>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</si>
  <si>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</si>
  <si>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</si>
  <si>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</si>
  <si>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</si>
  <si>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</si>
  <si>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</si>
  <si>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</si>
  <si>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</si>
  <si>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</si>
  <si>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</si>
  <si>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</si>
  <si>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</si>
  <si>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</si>
  <si>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</si>
  <si>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</si>
  <si>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</si>
  <si>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</si>
  <si>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</si>
  <si>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</si>
  <si>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</si>
  <si>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</si>
  <si>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</si>
  <si>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</si>
  <si>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</si>
  <si>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</si>
  <si>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</si>
  <si>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</si>
  <si>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</si>
  <si>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</si>
  <si>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</si>
  <si>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</si>
  <si>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</si>
  <si>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</si>
  <si>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</si>
  <si>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</si>
  <si>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</si>
  <si>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</si>
  <si>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</si>
  <si>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</si>
  <si>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</si>
  <si>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</si>
  <si>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</si>
  <si>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</si>
  <si>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</si>
  <si>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</si>
  <si>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</si>
  <si>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</si>
  <si>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</si>
  <si>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</si>
  <si>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</si>
  <si>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</si>
  <si>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</si>
  <si>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</si>
  <si>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</si>
  <si>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</si>
  <si>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</si>
  <si>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</si>
  <si>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</si>
  <si>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</si>
  <si>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</si>
  <si>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</si>
  <si>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</si>
  <si>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</si>
  <si>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</si>
  <si>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</si>
  <si>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</si>
  <si>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</si>
  <si>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</si>
  <si>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</si>
  <si>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</si>
  <si>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</si>
  <si>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</si>
  <si>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</si>
  <si>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</si>
  <si>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</si>
  <si>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</si>
  <si>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</si>
  <si>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</si>
  <si>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</si>
  <si>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</si>
  <si>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</si>
  <si>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</si>
  <si>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</si>
  <si>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</si>
  <si>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</si>
  <si>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</si>
  <si>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</si>
  <si>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</si>
  <si>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</si>
  <si>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</si>
  <si>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</si>
  <si>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</si>
  <si>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</si>
  <si>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</si>
  <si>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</si>
  <si>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</si>
  <si>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</si>
  <si>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</si>
  <si>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</si>
  <si>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</si>
  <si>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</si>
  <si>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</si>
  <si>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</si>
  <si>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</si>
  <si>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</si>
  <si>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</si>
  <si>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</si>
  <si>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</si>
  <si>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</si>
  <si>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</si>
  <si>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</si>
  <si>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</si>
  <si>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</si>
  <si>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</si>
  <si>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</si>
  <si>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</si>
  <si>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</si>
  <si>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</si>
  <si>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</si>
  <si>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</si>
  <si>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</si>
  <si>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</si>
  <si>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</si>
  <si>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</si>
  <si>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</si>
  <si>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</si>
  <si>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</si>
  <si>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</si>
  <si>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</si>
  <si>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</si>
  <si>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</si>
  <si>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</si>
  <si>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</si>
  <si>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</si>
  <si>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</si>
  <si>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</si>
  <si>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</si>
  <si>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</si>
  <si>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</si>
  <si>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</si>
  <si>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</si>
  <si>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</si>
  <si>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</si>
  <si>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</si>
  <si>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</si>
  <si>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</si>
  <si>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</si>
  <si>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</si>
  <si>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</si>
  <si>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</si>
  <si>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</si>
  <si>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</si>
  <si>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</si>
  <si>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</si>
  <si>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</si>
  <si>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</si>
  <si>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</si>
  <si>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</si>
  <si>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</si>
  <si>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</si>
  <si>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</si>
  <si>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</si>
  <si>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</si>
  <si>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</si>
  <si>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</si>
  <si>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</si>
  <si>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</si>
  <si>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</si>
  <si>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</si>
  <si>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</si>
  <si>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</si>
  <si>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</si>
  <si>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</si>
  <si>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</si>
  <si>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</si>
  <si>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</si>
  <si>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</si>
  <si>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</si>
  <si>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</si>
  <si>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</si>
  <si>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</si>
  <si>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</si>
  <si>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</si>
  <si>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</si>
  <si>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</si>
  <si>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</si>
  <si>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</si>
  <si>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</si>
  <si>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</si>
  <si>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</si>
  <si>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</si>
  <si>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</si>
  <si>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</si>
  <si>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</si>
  <si>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</si>
  <si>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</si>
  <si>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</si>
  <si>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</si>
  <si>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</si>
  <si>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</si>
  <si>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</si>
  <si>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</si>
  <si>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</si>
  <si>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</si>
  <si>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</si>
  <si>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</si>
  <si>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</si>
  <si>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</si>
  <si>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</si>
  <si>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</si>
  <si>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</si>
  <si>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</si>
  <si>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</si>
  <si>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</si>
  <si>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</si>
  <si>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</si>
  <si>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</si>
  <si>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</si>
  <si>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</si>
  <si>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</si>
  <si>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</si>
  <si>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</si>
  <si>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</si>
  <si>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</si>
  <si>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</si>
  <si>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</si>
  <si>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</si>
  <si>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</si>
  <si>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</si>
  <si>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</si>
  <si>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</si>
  <si>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</si>
  <si>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</si>
  <si>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</si>
  <si>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</si>
  <si>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</si>
  <si>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</si>
  <si>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</si>
  <si>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</si>
  <si>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</si>
  <si>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</si>
  <si>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</si>
  <si>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</si>
  <si>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</si>
  <si>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</si>
  <si>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</si>
  <si>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</si>
  <si>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</si>
  <si>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</si>
  <si>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</si>
  <si>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</si>
  <si>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</si>
  <si>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</si>
  <si>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</si>
  <si>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</si>
  <si>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</si>
  <si>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</si>
  <si>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</si>
  <si>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</si>
  <si>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</si>
  <si>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</si>
  <si>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</si>
  <si>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</si>
  <si>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</si>
  <si>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</si>
  <si>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</si>
  <si>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</si>
  <si>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</si>
  <si>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</si>
  <si>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</si>
  <si>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</si>
  <si>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</si>
  <si>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</si>
  <si>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</si>
  <si>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</si>
  <si>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</si>
  <si>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</si>
  <si>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</si>
  <si>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</si>
  <si>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</si>
  <si>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</si>
  <si>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</si>
  <si>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</si>
  <si>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</si>
  <si>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</si>
  <si>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</si>
  <si>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</si>
  <si>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</si>
  <si>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</si>
  <si>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</si>
  <si>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</si>
  <si>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</si>
  <si>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</si>
  <si>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</si>
  <si>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</si>
  <si>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</si>
  <si>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</si>
  <si>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</si>
  <si>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</si>
  <si>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</si>
  <si>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</si>
  <si>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</si>
  <si>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</si>
  <si>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</si>
  <si>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</si>
  <si>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</si>
  <si>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</si>
  <si>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</si>
  <si>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</si>
  <si>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</si>
  <si>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</si>
  <si>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</si>
  <si>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</si>
  <si>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</si>
  <si>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</si>
  <si>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</si>
  <si>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</si>
  <si>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</si>
  <si>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</si>
  <si>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</si>
  <si>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</si>
  <si>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</si>
  <si>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</si>
  <si>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</si>
  <si>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</si>
  <si>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</si>
  <si>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</si>
  <si>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</si>
  <si>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</si>
  <si>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</si>
  <si>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</si>
  <si>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</si>
  <si>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</si>
  <si>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</si>
  <si>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</si>
  <si>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</si>
  <si>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</si>
  <si>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</si>
  <si>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</si>
  <si>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</si>
  <si>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</si>
  <si>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</si>
  <si>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</si>
  <si>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</si>
  <si>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</si>
  <si>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</si>
  <si>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</si>
  <si>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</si>
  <si>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</si>
  <si>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</si>
  <si>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</si>
  <si>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</si>
  <si>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</si>
  <si>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</si>
  <si>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</si>
  <si>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</si>
  <si>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</si>
  <si>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</si>
  <si>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</si>
  <si>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</si>
  <si>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</si>
  <si>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</si>
  <si>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</si>
  <si>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</si>
  <si>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</si>
  <si>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</si>
  <si>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</si>
  <si>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</si>
  <si>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</si>
  <si>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</si>
  <si>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</si>
  <si>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</si>
  <si>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</si>
  <si>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</si>
  <si>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</si>
  <si>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</si>
  <si>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</si>
  <si>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</si>
  <si>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</si>
  <si>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</si>
  <si>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</si>
  <si>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</si>
  <si>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</si>
  <si>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</si>
  <si>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</si>
  <si>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</si>
  <si>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</si>
  <si>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</si>
  <si>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</si>
  <si>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</si>
  <si>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</si>
  <si>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</si>
  <si>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</si>
  <si>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</si>
  <si>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</si>
  <si>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</si>
  <si>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</si>
  <si>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</si>
  <si>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</si>
  <si>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</si>
  <si>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</si>
  <si>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</si>
  <si>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</si>
  <si>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</si>
  <si>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</si>
  <si>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</si>
  <si>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</si>
  <si>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</si>
  <si>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</si>
  <si>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</si>
  <si>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</si>
  <si>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</si>
  <si>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</si>
  <si>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</si>
  <si>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</si>
  <si>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</si>
  <si>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</si>
  <si>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</si>
  <si>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</si>
  <si>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</si>
  <si>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</si>
  <si>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</si>
  <si>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</si>
  <si>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</si>
  <si>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</si>
  <si>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</si>
  <si>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</si>
  <si>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</si>
  <si>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</si>
  <si>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</si>
  <si>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</si>
  <si>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</si>
  <si>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</si>
  <si>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</si>
  <si>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</si>
  <si>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</si>
  <si>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</si>
  <si>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</si>
  <si>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</si>
  <si>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</si>
  <si>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</si>
  <si>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</si>
  <si>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</si>
  <si>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</si>
  <si>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</si>
  <si>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</si>
  <si>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</si>
  <si>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</si>
  <si>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</si>
  <si>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</si>
  <si>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</si>
  <si>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</si>
  <si>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</si>
  <si>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</si>
  <si>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</si>
  <si>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</si>
  <si>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</si>
  <si>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</si>
  <si>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</si>
  <si>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</si>
  <si>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</si>
  <si>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</si>
  <si>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</si>
  <si>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</si>
  <si>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</si>
  <si>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</si>
  <si>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</si>
  <si>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</si>
  <si>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</si>
  <si>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</si>
  <si>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</si>
  <si>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</si>
  <si>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</si>
  <si>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</si>
  <si>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</si>
  <si>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</si>
  <si>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</si>
  <si>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</si>
  <si>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</si>
  <si>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</si>
  <si>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</si>
  <si>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</si>
  <si>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</si>
  <si>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</si>
  <si>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</si>
  <si>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</si>
  <si>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</si>
  <si>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</si>
  <si>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</si>
  <si>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</si>
  <si>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</si>
  <si>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</si>
  <si>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</si>
  <si>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</si>
  <si>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</si>
  <si>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</si>
  <si>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</si>
  <si>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</si>
  <si>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</si>
  <si>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</si>
  <si>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</si>
  <si>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</si>
  <si>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</si>
  <si>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</si>
  <si>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</si>
  <si>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</si>
  <si>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</si>
  <si>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</si>
  <si>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</si>
  <si>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</si>
  <si>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</si>
  <si>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</si>
  <si>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</si>
  <si>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</si>
  <si>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</si>
  <si>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</si>
  <si>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</si>
  <si>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</si>
  <si>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</si>
  <si>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</si>
  <si>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</si>
  <si>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</si>
  <si>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</si>
  <si>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</si>
  <si>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</si>
  <si>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</si>
  <si>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</si>
  <si>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</si>
  <si>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</si>
  <si>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</si>
  <si>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</si>
  <si>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</si>
  <si>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</si>
  <si>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</si>
  <si>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</si>
  <si>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</si>
  <si>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</si>
  <si>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</si>
  <si>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</si>
  <si>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</si>
  <si>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</si>
  <si>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</si>
  <si>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</si>
  <si>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</si>
  <si>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</si>
  <si>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</si>
  <si>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</si>
  <si>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</si>
  <si>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</si>
  <si>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</si>
  <si>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</si>
  <si>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</si>
  <si>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</si>
  <si>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</si>
  <si>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</si>
  <si>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</si>
  <si>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</si>
  <si>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</si>
  <si>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</si>
  <si>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</si>
  <si>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</si>
  <si>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</si>
  <si>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</si>
  <si>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</si>
  <si>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</si>
  <si>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</si>
  <si>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</si>
  <si>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</si>
  <si>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</si>
  <si>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</si>
  <si>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</si>
  <si>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</si>
  <si>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</si>
  <si>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</si>
  <si>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</si>
  <si>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</si>
  <si>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</si>
  <si>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</si>
  <si>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</si>
  <si>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</si>
  <si>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</si>
  <si>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</si>
  <si>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</si>
  <si>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</si>
  <si>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</si>
  <si>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</si>
  <si>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</si>
  <si>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</si>
  <si>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</si>
  <si>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</si>
  <si>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</si>
  <si>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</si>
  <si>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</si>
  <si>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</si>
  <si>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</si>
  <si>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</si>
  <si>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</si>
  <si>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</si>
  <si>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</si>
  <si>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</si>
  <si>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</si>
  <si>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</si>
  <si>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</si>
  <si>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</si>
  <si>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</si>
  <si>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</si>
  <si>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</si>
  <si>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</si>
  <si>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</si>
  <si>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</si>
  <si>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</si>
  <si>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</si>
  <si>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</si>
  <si>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</si>
  <si>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</si>
  <si>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</si>
  <si>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</si>
  <si>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</si>
  <si>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</si>
  <si>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</si>
  <si>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</si>
  <si>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</si>
  <si>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</si>
  <si>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</si>
  <si>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</si>
  <si>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</si>
  <si>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</si>
  <si>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</si>
  <si>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</si>
  <si>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</si>
  <si>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</si>
  <si>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</si>
  <si>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</si>
  <si>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</si>
  <si>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</si>
  <si>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</si>
  <si>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</si>
  <si>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</si>
  <si>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</si>
  <si>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</si>
  <si>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</si>
  <si>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</si>
  <si>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</si>
  <si>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</si>
  <si>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</si>
  <si>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</si>
  <si>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</si>
  <si>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</si>
  <si>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</si>
  <si>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</si>
  <si>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</si>
  <si>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</si>
  <si>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</si>
  <si>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</si>
  <si>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</si>
  <si>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</si>
  <si>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</si>
  <si>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</si>
  <si>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</si>
  <si>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</si>
  <si>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</si>
  <si>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</si>
  <si>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</si>
  <si>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</si>
  <si>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</si>
  <si>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</si>
  <si>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</si>
  <si>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</si>
  <si>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</si>
  <si>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</si>
  <si>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</si>
  <si>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</si>
  <si>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</si>
  <si>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</si>
  <si>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</si>
  <si>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</si>
  <si>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</si>
  <si>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</si>
  <si>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</si>
  <si>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</si>
  <si>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</si>
  <si>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</si>
  <si>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</si>
  <si>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</si>
  <si>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</si>
  <si>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</si>
  <si>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</si>
  <si>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</si>
  <si>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</si>
  <si>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</si>
  <si>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</si>
  <si>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</si>
  <si>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</si>
  <si>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</si>
  <si>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</si>
  <si>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</si>
  <si>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</si>
  <si>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</si>
  <si>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</si>
  <si>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</si>
  <si>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</si>
  <si>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</si>
  <si>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</si>
  <si>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</si>
  <si>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</si>
  <si>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</si>
  <si>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</si>
  <si>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</si>
  <si>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</si>
  <si>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</si>
  <si>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</si>
  <si>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</si>
  <si>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</si>
  <si>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</si>
  <si>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</si>
  <si>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</si>
  <si>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</si>
  <si>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</si>
  <si>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</si>
  <si>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</si>
  <si>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</si>
  <si>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</si>
  <si>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</si>
  <si>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</si>
  <si>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</si>
  <si>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</si>
  <si>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</si>
  <si>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</si>
  <si>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</si>
  <si>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</si>
  <si>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</si>
  <si>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</si>
  <si>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</si>
  <si>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</si>
  <si>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</si>
  <si>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</si>
  <si>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</si>
  <si>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</si>
  <si>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</si>
  <si>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</si>
  <si>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</si>
  <si>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</si>
  <si>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</si>
  <si>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</si>
  <si>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</si>
  <si>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</si>
  <si>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</si>
  <si>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</si>
  <si>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</si>
  <si>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</si>
  <si>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</si>
  <si>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</si>
  <si>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</si>
  <si>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</si>
  <si>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</si>
  <si>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</si>
  <si>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</si>
  <si>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</si>
  <si>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</si>
  <si>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</si>
  <si>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</si>
  <si>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</si>
  <si>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</si>
  <si>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</si>
  <si>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</si>
  <si>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</si>
  <si>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</si>
  <si>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</si>
  <si>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</si>
  <si>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</si>
  <si>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</si>
  <si>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</si>
  <si>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</si>
  <si>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</si>
  <si>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</si>
  <si>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</si>
  <si>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</si>
  <si>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</si>
  <si>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</si>
  <si>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</si>
  <si>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</si>
  <si>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</si>
  <si>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</si>
  <si>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</si>
  <si>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</si>
  <si>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</si>
  <si>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</si>
  <si>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</si>
  <si>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</si>
  <si>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</si>
  <si>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</si>
  <si>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</si>
  <si>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</si>
  <si>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</si>
  <si>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</si>
  <si>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</si>
  <si>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</si>
  <si>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</si>
  <si>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</si>
  <si>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</si>
  <si>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</si>
  <si>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</si>
  <si>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</si>
  <si>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</si>
  <si>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</si>
  <si>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</si>
  <si>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</si>
  <si>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</si>
  <si>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</si>
  <si>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</si>
  <si>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</si>
  <si>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</si>
  <si>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</si>
  <si>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</si>
  <si>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</si>
  <si>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</si>
  <si>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</si>
  <si>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</si>
  <si>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</si>
  <si>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</si>
  <si>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</si>
  <si>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</si>
  <si>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</si>
  <si>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</si>
  <si>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</si>
  <si>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</si>
  <si>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</si>
  <si>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</si>
  <si>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</si>
  <si>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</si>
  <si>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</si>
  <si>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</si>
  <si>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</si>
  <si>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</si>
  <si>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</si>
  <si>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</si>
  <si>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</si>
  <si>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</si>
  <si>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</si>
  <si>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</si>
  <si>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</si>
  <si>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</si>
  <si>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</si>
  <si>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</si>
  <si>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</si>
  <si>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</si>
  <si>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</si>
  <si>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</si>
  <si>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</si>
  <si>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</si>
  <si>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</si>
  <si>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</si>
  <si>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</si>
  <si>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</si>
  <si>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</si>
  <si>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</si>
  <si>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</si>
  <si>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</si>
  <si>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</si>
  <si>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</si>
  <si>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</si>
  <si>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</si>
  <si>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</si>
  <si>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</si>
  <si>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</si>
  <si>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</si>
  <si>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</si>
  <si>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</si>
  <si>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</si>
  <si>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</si>
  <si>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</si>
  <si>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</si>
  <si>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</si>
  <si>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</si>
  <si>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</si>
  <si>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</si>
  <si>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</si>
  <si>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</si>
  <si>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</si>
  <si>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</si>
  <si>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</si>
  <si>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</si>
  <si>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</si>
  <si>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</si>
  <si>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</si>
  <si>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</si>
  <si>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</si>
  <si>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</si>
  <si>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</si>
  <si>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</si>
  <si>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</si>
  <si>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</si>
  <si>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</si>
  <si>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</si>
  <si>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</si>
  <si>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</si>
  <si>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</si>
  <si>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</si>
  <si>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</si>
  <si>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</si>
  <si>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</si>
  <si>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</si>
  <si>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</si>
  <si>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</si>
  <si>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</si>
  <si>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</si>
  <si>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</si>
  <si>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</si>
  <si>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</si>
  <si>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</si>
  <si>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</si>
  <si>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</si>
  <si>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</si>
  <si>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</si>
  <si>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</si>
  <si>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</si>
  <si>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</si>
  <si>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</si>
  <si>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</si>
  <si>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</si>
  <si>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</si>
  <si>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</si>
  <si>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</si>
  <si>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</si>
  <si>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</si>
  <si>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</si>
  <si>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</si>
  <si>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</si>
  <si>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</si>
  <si>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</si>
  <si>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</si>
  <si>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</si>
  <si>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</si>
  <si>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</si>
  <si>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</si>
  <si>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</si>
  <si>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</si>
  <si>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</si>
  <si>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</si>
  <si>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</si>
  <si>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</si>
  <si>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</si>
  <si>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</si>
  <si>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</si>
  <si>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</si>
  <si>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</si>
  <si>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</si>
  <si>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</si>
  <si>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</si>
  <si>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</si>
  <si>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</si>
  <si>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</si>
  <si>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</si>
  <si>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</si>
  <si>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</si>
  <si>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</si>
  <si>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</si>
  <si>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</si>
  <si>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</si>
  <si>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</si>
  <si>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</si>
  <si>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</si>
  <si>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</si>
  <si>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</si>
  <si>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</si>
  <si>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</si>
  <si>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</si>
  <si>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</si>
  <si>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</si>
  <si>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</si>
  <si>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</si>
  <si>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</si>
  <si>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</si>
  <si>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</si>
  <si>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</si>
  <si>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</si>
  <si>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</si>
  <si>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</si>
  <si>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</si>
  <si>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</si>
  <si>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</si>
  <si>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</si>
  <si>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</si>
  <si>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</si>
  <si>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</si>
  <si>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</si>
  <si>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</si>
  <si>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</si>
  <si>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</si>
  <si>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</si>
  <si>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</si>
  <si>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</si>
  <si>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</si>
  <si>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</si>
  <si>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</si>
  <si>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</si>
  <si>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</si>
  <si>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</si>
  <si>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</si>
  <si>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</si>
  <si>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</si>
  <si>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</si>
  <si>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</si>
  <si>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</si>
  <si>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</si>
  <si>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</si>
  <si>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</si>
  <si>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</si>
  <si>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</si>
  <si>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</si>
  <si>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</si>
  <si>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</si>
  <si>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</si>
  <si>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</si>
  <si>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</si>
  <si>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</si>
  <si>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</si>
  <si>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</si>
  <si>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</si>
  <si>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</si>
  <si>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</si>
  <si>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</si>
  <si>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</si>
  <si>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</si>
  <si>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</si>
  <si>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</si>
  <si>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</si>
  <si>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</si>
  <si>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</si>
  <si>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</si>
  <si>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</si>
  <si>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</si>
  <si>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</si>
  <si>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</si>
  <si>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</si>
  <si>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</si>
  <si>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</si>
  <si>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</si>
  <si>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</si>
  <si>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</si>
  <si>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</si>
  <si>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</si>
  <si>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</si>
  <si>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</si>
  <si>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</si>
  <si>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</si>
  <si>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</si>
  <si>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</si>
  <si>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</si>
  <si>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</si>
  <si>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</si>
  <si>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</si>
  <si>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</si>
  <si>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</si>
  <si>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</si>
  <si>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</si>
  <si>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</si>
  <si>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</si>
  <si>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</si>
  <si>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</si>
  <si>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</si>
  <si>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</si>
  <si>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</si>
  <si>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</si>
  <si>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</si>
  <si>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</si>
  <si>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</si>
  <si>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</si>
  <si>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</si>
  <si>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</si>
  <si>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</si>
  <si>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</si>
  <si>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</si>
  <si>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</si>
  <si>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</si>
  <si>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</si>
  <si>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</si>
  <si>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</si>
  <si>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</si>
  <si>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</si>
  <si>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</si>
  <si>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</si>
  <si>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</si>
  <si>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</si>
  <si>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</si>
  <si>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</si>
  <si>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</si>
  <si>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</si>
  <si>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</si>
  <si>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</si>
  <si>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</si>
  <si>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</si>
  <si>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</si>
  <si>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</si>
  <si>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</si>
  <si>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</si>
  <si>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</si>
  <si>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</si>
  <si>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</si>
  <si>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</si>
  <si>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</si>
  <si>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</si>
  <si>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</si>
  <si>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</si>
  <si>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</si>
  <si>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</si>
  <si>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</si>
  <si>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</si>
  <si>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</si>
  <si>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</si>
  <si>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</si>
  <si>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</si>
  <si>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</si>
  <si>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</si>
  <si>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</si>
  <si>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</si>
  <si>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</si>
  <si>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</si>
  <si>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</si>
  <si>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</si>
  <si>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</si>
  <si>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</si>
  <si>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</si>
  <si>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</si>
  <si>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</si>
  <si>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</si>
  <si>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</si>
  <si>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</si>
  <si>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</si>
  <si>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</si>
  <si>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</si>
  <si>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</si>
  <si>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</si>
  <si>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</si>
  <si>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</si>
  <si>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</si>
  <si>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</si>
  <si>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</si>
  <si>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</si>
  <si>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</si>
  <si>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</si>
  <si>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</si>
  <si>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</si>
  <si>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</si>
  <si>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</si>
  <si>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</si>
  <si>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</si>
  <si>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</si>
  <si>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</si>
  <si>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</si>
  <si>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</si>
  <si>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</si>
  <si>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</si>
  <si>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</si>
  <si>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</si>
  <si>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</si>
  <si>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</si>
  <si>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</si>
  <si>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</si>
  <si>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</si>
  <si>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</si>
  <si>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</si>
  <si>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</si>
  <si>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</si>
  <si>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</si>
  <si>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</si>
  <si>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</si>
  <si>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</si>
  <si>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</si>
  <si>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</si>
  <si>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</si>
  <si>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</si>
  <si>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</si>
  <si>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</si>
  <si>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</si>
  <si>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</si>
  <si>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</si>
  <si>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</si>
  <si>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</si>
  <si>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</si>
  <si>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</si>
  <si>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</si>
  <si>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</si>
  <si>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</si>
  <si>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</si>
  <si>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</si>
  <si>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</si>
  <si>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</si>
  <si>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</si>
  <si>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</si>
  <si>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</si>
  <si>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</si>
  <si>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</si>
  <si>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</si>
  <si>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</si>
  <si>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</si>
  <si>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</si>
  <si>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</si>
  <si>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</si>
  <si>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</si>
  <si>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</si>
  <si>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</si>
  <si>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</si>
  <si>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</si>
  <si>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</si>
  <si>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</si>
  <si>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</si>
  <si>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</si>
  <si>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</si>
  <si>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</si>
  <si>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</si>
  <si>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</si>
  <si>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</si>
  <si>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</si>
  <si>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</si>
  <si>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</si>
  <si>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</si>
  <si>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</si>
  <si>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</si>
  <si>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</si>
  <si>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</si>
  <si>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</si>
  <si>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</si>
  <si>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</si>
  <si>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</si>
  <si>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</si>
  <si>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</si>
  <si>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</si>
  <si>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</si>
  <si>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</si>
  <si>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</si>
  <si>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</si>
  <si>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</si>
  <si>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</si>
  <si>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</si>
  <si>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</si>
  <si>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</si>
  <si>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</si>
  <si>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</si>
  <si>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</si>
  <si>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</si>
  <si>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</si>
  <si>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</si>
  <si>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</si>
  <si>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</si>
  <si>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</si>
  <si>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</si>
  <si>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</si>
  <si>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</si>
  <si>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</si>
  <si>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</si>
  <si>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</si>
  <si>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</si>
  <si>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</si>
  <si>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</si>
  <si>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</si>
  <si>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</si>
  <si>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</si>
  <si>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</si>
  <si>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</si>
  <si>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</si>
  <si>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</si>
  <si>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</si>
  <si>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</si>
  <si>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</si>
  <si>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</si>
  <si>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</si>
  <si>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</si>
  <si>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</si>
  <si>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</si>
  <si>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</si>
  <si>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</si>
  <si>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</si>
  <si>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</si>
  <si>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</si>
  <si>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</si>
  <si>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</si>
  <si>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</si>
  <si>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</si>
  <si>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</si>
  <si>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</si>
  <si>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</si>
  <si>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</si>
  <si>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</si>
  <si>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</si>
  <si>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</si>
  <si>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</si>
  <si>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</si>
  <si>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</si>
  <si>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</si>
  <si>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</si>
  <si>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</si>
  <si>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</si>
  <si>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</si>
  <si>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</si>
  <si>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</si>
  <si>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</si>
  <si>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</si>
  <si>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</si>
  <si>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</si>
  <si>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</si>
  <si>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</si>
  <si>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</si>
  <si>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</si>
  <si>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</si>
  <si>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</si>
  <si>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</si>
  <si>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</si>
  <si>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</si>
  <si>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</si>
  <si>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</si>
  <si>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</si>
  <si>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</si>
  <si>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</si>
  <si>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</si>
  <si>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</si>
  <si>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</si>
  <si>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</si>
  <si>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</si>
  <si>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</si>
  <si>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</si>
  <si>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</si>
  <si>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</si>
  <si>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</si>
  <si>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</si>
  <si>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</si>
  <si>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</si>
  <si>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</si>
  <si>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</si>
  <si>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</si>
  <si>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</si>
  <si>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</si>
  <si>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</si>
  <si>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</si>
  <si>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</si>
  <si>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</si>
  <si>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</si>
  <si>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</si>
  <si>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</si>
  <si>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</si>
  <si>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</si>
  <si>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</si>
  <si>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</si>
  <si>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</si>
  <si>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</si>
  <si>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</si>
  <si>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</si>
  <si>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</si>
  <si>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</si>
  <si>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</si>
  <si>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</si>
  <si>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</si>
  <si>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</si>
  <si>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</si>
  <si>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</si>
  <si>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</si>
  <si>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</si>
  <si>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</si>
  <si>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</si>
  <si>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</si>
  <si>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</si>
  <si>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</si>
  <si>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</si>
  <si>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</si>
  <si>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</si>
  <si>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</si>
  <si>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</si>
  <si>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</si>
  <si>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</si>
  <si>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</si>
  <si>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</si>
  <si>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</si>
  <si>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</si>
  <si>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</si>
  <si>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</si>
  <si>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</si>
  <si>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</si>
  <si>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</si>
  <si>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</si>
  <si>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</si>
  <si>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</si>
  <si>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</si>
  <si>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</si>
  <si>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</si>
  <si>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</si>
  <si>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</si>
  <si>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</si>
  <si>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</si>
  <si>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</si>
  <si>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</si>
  <si>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</si>
  <si>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</si>
  <si>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</si>
  <si>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</si>
  <si>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</si>
  <si>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</si>
  <si>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</si>
  <si>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</si>
  <si>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</si>
  <si>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</si>
  <si>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</si>
  <si>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</si>
  <si>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</si>
  <si>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</si>
  <si>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</si>
  <si>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</si>
  <si>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</si>
  <si>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</si>
  <si>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</si>
  <si>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</si>
  <si>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</si>
  <si>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</si>
  <si>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</si>
  <si>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</si>
  <si>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</si>
  <si>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</si>
  <si>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</si>
  <si>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</si>
  <si>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</si>
  <si>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</si>
  <si>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</si>
  <si>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</si>
  <si>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</si>
  <si>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</si>
  <si>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</si>
  <si>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</si>
  <si>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</si>
  <si>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</si>
  <si>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</si>
  <si>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</si>
  <si>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</si>
  <si>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</si>
  <si>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</si>
  <si>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</si>
  <si>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</si>
  <si>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</si>
  <si>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</si>
  <si>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</si>
  <si>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</si>
  <si>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</si>
  <si>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</si>
  <si>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</si>
  <si>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</si>
  <si>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</si>
  <si>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</si>
  <si>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</si>
  <si>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</si>
  <si>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</si>
  <si>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</si>
  <si>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</si>
  <si>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</si>
  <si>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</si>
  <si>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</si>
  <si>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</si>
  <si>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</si>
  <si>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</si>
  <si>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</si>
  <si>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</si>
  <si>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</si>
  <si>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</si>
  <si>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</si>
  <si>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</si>
  <si>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</si>
  <si>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</si>
  <si>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</si>
  <si>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</si>
  <si>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</si>
  <si>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</si>
  <si>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</si>
  <si>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</si>
  <si>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</si>
  <si>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</si>
  <si>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</si>
  <si>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</si>
  <si>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</si>
  <si>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</si>
  <si>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</si>
  <si>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</si>
  <si>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</si>
  <si>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</si>
  <si>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</si>
  <si>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</si>
  <si>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</si>
  <si>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</si>
  <si>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</si>
  <si>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</si>
  <si>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</si>
  <si>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</si>
  <si>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</si>
  <si>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</si>
  <si>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</si>
  <si>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</si>
  <si>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</si>
  <si>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</si>
  <si>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</si>
  <si>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</si>
  <si>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</si>
  <si>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</si>
  <si>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</si>
  <si>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</si>
  <si>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</si>
  <si>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</si>
  <si>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</si>
  <si>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</si>
  <si>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</si>
  <si>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</si>
  <si>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</si>
  <si>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</si>
  <si>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</si>
  <si>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</si>
  <si>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</si>
  <si>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</si>
  <si>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</si>
  <si>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</si>
  <si>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</si>
  <si>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</si>
  <si>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</si>
  <si>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</si>
  <si>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</si>
  <si>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</si>
  <si>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</si>
  <si>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</si>
  <si>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</si>
  <si>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</si>
  <si>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</si>
  <si>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</si>
  <si>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</si>
  <si>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</si>
  <si>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</si>
  <si>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</si>
  <si>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</si>
  <si>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</si>
  <si>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</si>
  <si>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</si>
  <si>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</si>
  <si>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</si>
  <si>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</si>
  <si>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</si>
  <si>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</si>
  <si>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</si>
  <si>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</si>
  <si>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</si>
  <si>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</si>
  <si>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</si>
  <si>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</si>
  <si>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</si>
  <si>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</si>
  <si>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</si>
  <si>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</si>
  <si>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</si>
  <si>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</si>
  <si>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</si>
  <si>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</si>
  <si>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</si>
  <si>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</si>
  <si>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</si>
  <si>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</si>
  <si>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</si>
  <si>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</si>
  <si>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</si>
  <si>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</si>
  <si>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</si>
  <si>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</si>
  <si>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</si>
  <si>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</si>
  <si>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</si>
  <si>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</si>
  <si>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</si>
  <si>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</si>
  <si>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</si>
  <si>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</si>
  <si>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</si>
  <si>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</si>
  <si>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</si>
  <si>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</si>
  <si>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</si>
  <si>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</si>
  <si>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</si>
  <si>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</si>
  <si>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</si>
  <si>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</si>
  <si>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</si>
  <si>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</si>
  <si>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</si>
  <si>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</si>
  <si>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</si>
  <si>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</si>
  <si>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</si>
  <si>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</si>
  <si>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</si>
  <si>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</si>
  <si>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</si>
  <si>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</si>
  <si>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</si>
  <si>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</si>
  <si>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</si>
  <si>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</si>
  <si>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</si>
  <si>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</si>
  <si>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</si>
  <si>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</si>
  <si>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</si>
  <si>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</si>
  <si>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</si>
  <si>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</si>
  <si>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</si>
  <si>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</si>
  <si>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</si>
  <si>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</si>
  <si>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</si>
  <si>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</si>
  <si>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</si>
  <si>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</si>
  <si>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</si>
  <si>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</si>
  <si>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</si>
  <si>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</si>
  <si>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</si>
  <si>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</si>
  <si>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</si>
  <si>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</si>
  <si>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</si>
  <si>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</si>
  <si>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</si>
  <si>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</si>
  <si>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</si>
  <si>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</si>
  <si>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</si>
  <si>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</si>
  <si>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</si>
  <si>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</si>
  <si>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</si>
  <si>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</si>
  <si>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</si>
  <si>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</si>
  <si>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</si>
  <si>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</si>
  <si>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</si>
  <si>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</si>
  <si>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</si>
  <si>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</si>
  <si>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</si>
  <si>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</si>
  <si>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</si>
  <si>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</si>
  <si>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</si>
  <si>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</si>
  <si>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</si>
  <si>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</si>
  <si>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</si>
  <si>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</si>
  <si>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</si>
  <si>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</si>
  <si>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</si>
  <si>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</si>
  <si>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</si>
  <si>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</si>
  <si>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</si>
  <si>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</si>
  <si>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</si>
  <si>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</si>
  <si>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</si>
  <si>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</si>
  <si>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</si>
  <si>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</si>
  <si>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</si>
  <si>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</si>
  <si>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</si>
  <si>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</si>
  <si>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</si>
  <si>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</si>
  <si>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</si>
  <si>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</si>
  <si>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</si>
  <si>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</si>
  <si>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</si>
  <si>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</si>
  <si>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</si>
  <si>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</si>
  <si>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</si>
  <si>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</si>
  <si>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</si>
  <si>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</si>
  <si>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</si>
  <si>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</si>
  <si>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</si>
  <si>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</si>
  <si>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</si>
  <si>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</si>
  <si>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</si>
  <si>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</si>
  <si>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</si>
  <si>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</si>
  <si>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</si>
  <si>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</si>
  <si>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</si>
  <si>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</si>
  <si>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</si>
  <si>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</si>
  <si>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</si>
  <si>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</si>
  <si>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</si>
  <si>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</si>
  <si>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</si>
  <si>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</si>
  <si>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</si>
  <si>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</si>
  <si>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</si>
  <si>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</si>
  <si>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</si>
  <si>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</si>
  <si>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</si>
  <si>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</si>
  <si>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</si>
  <si>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</si>
  <si>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</si>
  <si>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</si>
  <si>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</si>
  <si>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</si>
  <si>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</si>
  <si>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</si>
  <si>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</si>
  <si>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</si>
  <si>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</si>
  <si>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</si>
  <si>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</si>
  <si>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</si>
  <si>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</si>
  <si>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</si>
  <si>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</si>
  <si>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</si>
  <si>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</si>
  <si>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</si>
  <si>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</si>
  <si>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</si>
  <si>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</si>
  <si>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</si>
  <si>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</si>
  <si>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</si>
  <si>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</si>
  <si>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</si>
  <si>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</si>
  <si>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</si>
  <si>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</si>
  <si>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</si>
  <si>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</si>
  <si>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</si>
  <si>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</si>
  <si>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</si>
  <si>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</si>
  <si>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</si>
  <si>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</si>
  <si>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</si>
  <si>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</si>
  <si>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</si>
  <si>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</si>
  <si>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</si>
  <si>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</si>
  <si>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</si>
  <si>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</si>
  <si>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</si>
  <si>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</si>
  <si>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</si>
  <si>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</si>
  <si>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</si>
  <si>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</si>
  <si>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</si>
  <si>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</si>
  <si>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</si>
  <si>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</si>
  <si>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</si>
  <si>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</si>
  <si>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</si>
  <si>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</si>
  <si>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</si>
  <si>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</si>
  <si>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</si>
  <si>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</si>
  <si>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</si>
  <si>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</si>
  <si>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</si>
  <si>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</si>
  <si>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</si>
  <si>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</si>
  <si>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</si>
  <si>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</si>
  <si>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</si>
  <si>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</si>
  <si>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</si>
  <si>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</si>
  <si>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</si>
  <si>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</si>
  <si>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</si>
  <si>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</si>
  <si>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</si>
  <si>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</si>
  <si>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</si>
  <si>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</si>
  <si>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</si>
  <si>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</si>
  <si>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</si>
  <si>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</si>
  <si>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</si>
  <si>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</si>
  <si>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</si>
  <si>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</si>
  <si>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</si>
  <si>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</si>
  <si>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</si>
  <si>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</si>
  <si>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</si>
  <si>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</si>
  <si>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</si>
  <si>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</si>
  <si>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</si>
  <si>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</si>
  <si>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</si>
  <si>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</si>
  <si>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</si>
  <si>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</si>
  <si>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</si>
  <si>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</si>
  <si>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</si>
  <si>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</si>
  <si>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</si>
  <si>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</si>
  <si>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</si>
  <si>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</si>
  <si>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</si>
  <si>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</si>
  <si>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</si>
  <si>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</si>
  <si>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</si>
  <si>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</si>
  <si>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</si>
  <si>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</si>
  <si>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</si>
  <si>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</si>
  <si>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</si>
  <si>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</si>
  <si>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</si>
  <si>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</si>
  <si>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</si>
  <si>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</si>
  <si>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</si>
  <si>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</si>
  <si>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</si>
  <si>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</si>
  <si>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</si>
  <si>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</si>
  <si>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</si>
  <si>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</si>
  <si>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</si>
  <si>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</si>
  <si>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</si>
  <si>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</si>
  <si>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</si>
  <si>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</si>
  <si>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</si>
  <si>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</si>
  <si>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</si>
  <si>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</si>
  <si>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</si>
  <si>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</si>
  <si>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</si>
  <si>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</si>
  <si>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</si>
  <si>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</si>
  <si>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</si>
  <si>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</si>
  <si>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</si>
  <si>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</si>
  <si>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</si>
  <si>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</si>
  <si>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</si>
  <si>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</si>
  <si>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</si>
  <si>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</si>
  <si>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</si>
  <si>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</si>
  <si>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</si>
  <si>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</si>
  <si>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</si>
  <si>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</si>
  <si>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</si>
  <si>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</si>
  <si>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</si>
  <si>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</si>
  <si>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</si>
  <si>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</si>
  <si>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</si>
  <si>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</si>
  <si>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</si>
  <si>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</si>
  <si>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</si>
  <si>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</si>
  <si>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</si>
  <si>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</si>
  <si>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</si>
  <si>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</si>
  <si>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</si>
  <si>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</si>
  <si>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</si>
  <si>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</si>
  <si>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</si>
  <si>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</si>
  <si>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</si>
  <si>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</si>
  <si>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</si>
  <si>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</si>
  <si>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</si>
  <si>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</si>
  <si>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</si>
  <si>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</si>
  <si>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</si>
  <si>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</si>
  <si>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</si>
  <si>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</si>
  <si>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</si>
  <si>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</si>
  <si>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</si>
  <si>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</si>
  <si>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</si>
  <si>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</si>
  <si>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</si>
  <si>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</si>
  <si>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</si>
  <si>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</si>
  <si>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</si>
  <si>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</si>
  <si>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</si>
  <si>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</si>
  <si>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</si>
  <si>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</si>
  <si>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</si>
  <si>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</si>
  <si>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</si>
  <si>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</si>
  <si>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</si>
  <si>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</si>
  <si>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</si>
  <si>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</si>
  <si>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</si>
  <si>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</si>
  <si>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</si>
  <si>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</si>
  <si>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</si>
  <si>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</si>
  <si>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</si>
  <si>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</si>
  <si>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</si>
  <si>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</si>
  <si>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</si>
  <si>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</si>
  <si>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</si>
  <si>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</si>
  <si>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</si>
  <si>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</si>
  <si>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</si>
  <si>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</si>
  <si>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</si>
  <si>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</si>
  <si>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</si>
  <si>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</si>
  <si>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</si>
  <si>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</si>
  <si>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</si>
  <si>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</si>
  <si>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</si>
  <si>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</si>
  <si>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</si>
  <si>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</si>
  <si>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</si>
  <si>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</si>
  <si>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</si>
  <si>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</si>
  <si>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</si>
  <si>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</si>
  <si>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</si>
  <si>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</si>
  <si>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</si>
  <si>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</si>
  <si>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</si>
  <si>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</si>
  <si>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</si>
  <si>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</si>
  <si>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</si>
  <si>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</si>
  <si>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</si>
  <si>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</si>
  <si>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</si>
  <si>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</si>
  <si>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</si>
  <si>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</si>
  <si>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</si>
  <si>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</si>
  <si>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</si>
  <si>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</si>
  <si>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</si>
  <si>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</si>
  <si>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</si>
  <si>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</si>
  <si>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</si>
  <si>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</si>
  <si>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</si>
  <si>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</si>
  <si>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</si>
  <si>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</si>
  <si>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</si>
  <si>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</si>
  <si>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</si>
  <si>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</si>
  <si>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</si>
  <si>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</si>
  <si>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</si>
  <si>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</si>
  <si>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</si>
  <si>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</si>
  <si>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</si>
  <si>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</si>
  <si>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</si>
  <si>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</si>
  <si>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</si>
  <si>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</si>
  <si>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</si>
  <si>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</si>
  <si>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</si>
  <si>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</si>
  <si>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</si>
  <si>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</si>
  <si>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</si>
  <si>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</si>
  <si>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</si>
  <si>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</si>
  <si>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</si>
  <si>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</si>
  <si>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</si>
  <si>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</si>
  <si>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</si>
  <si>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</si>
  <si>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</si>
  <si>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</si>
  <si>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</si>
  <si>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</si>
  <si>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</si>
  <si>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</si>
  <si>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</si>
  <si>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</si>
  <si>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</si>
  <si>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</si>
  <si>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</si>
  <si>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</si>
  <si>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</si>
  <si>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</si>
  <si>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</si>
  <si>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</si>
  <si>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</si>
  <si>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</si>
  <si>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</si>
  <si>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</si>
  <si>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</si>
  <si>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</si>
  <si>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</si>
  <si>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</si>
  <si>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</si>
  <si>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</si>
  <si>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</si>
  <si>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</si>
  <si>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</si>
  <si>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</si>
  <si>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</si>
  <si>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</si>
  <si>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</si>
  <si>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</si>
  <si>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</si>
  <si>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</si>
  <si>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</si>
  <si>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</si>
  <si>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</si>
  <si>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</si>
  <si>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</si>
  <si>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</si>
  <si>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</si>
  <si>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</si>
  <si>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</si>
  <si>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</si>
  <si>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</si>
  <si>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</si>
  <si>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</si>
  <si>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</si>
  <si>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</si>
  <si>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</si>
  <si>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</si>
  <si>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</si>
  <si>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</si>
  <si>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</si>
  <si>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</si>
  <si>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</si>
  <si>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</si>
  <si>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</si>
  <si>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</si>
  <si>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</si>
  <si>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</si>
  <si>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</si>
  <si>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</si>
  <si>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</si>
  <si>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</si>
  <si>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</si>
  <si>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</si>
  <si>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</si>
  <si>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</si>
  <si>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</si>
  <si>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</si>
  <si>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</si>
  <si>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</si>
  <si>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</si>
  <si>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</si>
  <si>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</si>
  <si>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</si>
  <si>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</si>
  <si>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</si>
  <si>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</si>
  <si>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</si>
  <si>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</si>
  <si>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</si>
  <si>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</si>
  <si>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</si>
  <si>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</si>
  <si>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</si>
  <si>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</si>
  <si>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</si>
  <si>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</si>
  <si>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</si>
  <si>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</si>
  <si>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</si>
  <si>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</si>
  <si>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</si>
  <si>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</si>
  <si>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</si>
  <si>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</si>
  <si>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</si>
  <si>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</si>
  <si>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</si>
  <si>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</si>
  <si>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</si>
  <si>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</si>
  <si>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</si>
  <si>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</si>
  <si>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</si>
  <si>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</si>
  <si>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</si>
  <si>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</si>
  <si>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</si>
  <si>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</si>
  <si>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</si>
  <si>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</si>
  <si>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</si>
  <si>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</si>
  <si>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</si>
  <si>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</si>
  <si>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</si>
  <si>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</si>
  <si>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</si>
  <si>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</si>
  <si>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</si>
  <si>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</si>
  <si>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</si>
  <si>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</si>
  <si>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</si>
  <si>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</si>
  <si>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</si>
  <si>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</si>
  <si>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</si>
  <si>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</si>
  <si>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</si>
  <si>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</si>
  <si>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</si>
  <si>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</si>
  <si>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</si>
  <si>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</si>
  <si>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</si>
  <si>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</si>
  <si>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</si>
  <si>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</si>
  <si>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</si>
  <si>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</si>
  <si>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</si>
  <si>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</si>
  <si>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</si>
  <si>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</si>
  <si>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</si>
  <si>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</si>
  <si>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</si>
  <si>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</si>
  <si>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</si>
  <si>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</si>
  <si>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</si>
  <si>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</si>
  <si>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</si>
  <si>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</si>
  <si>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</si>
  <si>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</si>
  <si>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</si>
  <si>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</si>
  <si>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</si>
  <si>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</si>
  <si>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</si>
  <si>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</si>
  <si>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</si>
  <si>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</si>
  <si>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</si>
  <si>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</si>
  <si>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</si>
  <si>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</si>
  <si>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</si>
  <si>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</si>
  <si>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</si>
  <si>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</si>
  <si>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</si>
  <si>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</si>
  <si>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</si>
  <si>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</si>
  <si>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</si>
  <si>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</si>
  <si>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</si>
  <si>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</si>
  <si>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</si>
  <si>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</si>
  <si>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</si>
  <si>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</si>
  <si>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</si>
  <si>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</si>
  <si>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</si>
  <si>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</si>
  <si>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</si>
  <si>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</si>
  <si>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</si>
  <si>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</si>
  <si>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</si>
  <si>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</si>
  <si>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</si>
  <si>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</si>
  <si>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</si>
  <si>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</si>
  <si>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</si>
  <si>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</si>
  <si>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</si>
  <si>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</si>
  <si>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</si>
  <si>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</si>
  <si>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</si>
  <si>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</si>
  <si>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</si>
  <si>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</si>
  <si>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</si>
  <si>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</si>
  <si>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</si>
  <si>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</si>
  <si>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</si>
  <si>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</si>
  <si>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</si>
  <si>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</si>
  <si>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</si>
  <si>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</si>
  <si>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</si>
  <si>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</si>
  <si>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</si>
  <si>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</si>
  <si>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</si>
  <si>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</si>
  <si>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</si>
  <si>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</si>
  <si>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</si>
  <si>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</si>
  <si>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</si>
  <si>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</si>
  <si>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</si>
  <si>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</si>
  <si>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</si>
  <si>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</si>
  <si>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</si>
  <si>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</si>
  <si>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</si>
  <si>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</si>
  <si>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</si>
  <si>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</si>
  <si>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</si>
  <si>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</si>
  <si>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</si>
  <si>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</si>
  <si>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</si>
  <si>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</si>
  <si>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</si>
  <si>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</si>
  <si>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</si>
  <si>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</si>
  <si>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</si>
  <si>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</si>
  <si>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</si>
  <si>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</si>
  <si>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</si>
  <si>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</si>
  <si>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</si>
  <si>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</si>
  <si>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</si>
  <si>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</si>
  <si>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</si>
  <si>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</si>
  <si>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</si>
  <si>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</si>
  <si>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</si>
  <si>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</si>
  <si>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</si>
  <si>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</si>
  <si>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</si>
  <si>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</si>
  <si>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</si>
  <si>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</si>
  <si>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</si>
  <si>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</si>
  <si>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</si>
  <si>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</si>
  <si>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</si>
  <si>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</si>
  <si>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</si>
  <si>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</si>
  <si>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</si>
  <si>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</si>
  <si>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</si>
  <si>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</si>
  <si>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</si>
  <si>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</si>
  <si>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</si>
  <si>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</si>
  <si>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</si>
  <si>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</si>
  <si>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</si>
  <si>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</si>
  <si>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</si>
  <si>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</si>
  <si>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</si>
  <si>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</si>
  <si>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</si>
  <si>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</si>
  <si>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</si>
  <si>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</si>
  <si>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</si>
  <si>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</si>
  <si>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</si>
  <si>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</si>
  <si>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</si>
  <si>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</si>
  <si>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</si>
  <si>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</si>
  <si>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</si>
  <si>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</si>
  <si>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</si>
  <si>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</si>
  <si>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</si>
  <si>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</si>
  <si>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</si>
  <si>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</si>
  <si>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</si>
  <si>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</si>
  <si>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</si>
  <si>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</si>
  <si>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</si>
  <si>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</si>
  <si>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</si>
  <si>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</si>
  <si>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</si>
  <si>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</si>
  <si>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</si>
  <si>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</si>
  <si>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</si>
  <si>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</si>
  <si>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</si>
  <si>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</si>
  <si>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</si>
  <si>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</si>
  <si>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</si>
  <si>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</si>
  <si>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</si>
  <si>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</si>
  <si>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</si>
  <si>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</si>
  <si>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</si>
  <si>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</si>
  <si>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</si>
  <si>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</si>
  <si>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</si>
  <si>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</si>
  <si>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</si>
  <si>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</si>
  <si>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</si>
  <si>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</si>
  <si>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</si>
  <si>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</si>
  <si>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</si>
  <si>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</si>
  <si>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</si>
  <si>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</si>
  <si>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</si>
  <si>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</si>
  <si>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</si>
  <si>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</si>
  <si>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</si>
  <si>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</si>
  <si>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</si>
  <si>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</si>
  <si>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</si>
  <si>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</si>
  <si>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</si>
  <si>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</si>
  <si>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</si>
  <si>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</si>
  <si>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</si>
  <si>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</si>
  <si>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</si>
  <si>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</si>
  <si>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</si>
  <si>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</si>
  <si>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</si>
  <si>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</si>
  <si>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</si>
  <si>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</si>
  <si>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</si>
  <si>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</si>
  <si>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</si>
  <si>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</si>
  <si>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</si>
  <si>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</si>
  <si>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</si>
  <si>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</si>
  <si>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</si>
  <si>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</si>
  <si>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</si>
  <si>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</si>
  <si>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</si>
  <si>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</si>
  <si>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</si>
  <si>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</si>
  <si>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</si>
  <si>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</si>
  <si>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</si>
  <si>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</si>
  <si>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</si>
  <si>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</si>
  <si>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</si>
  <si>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</si>
  <si>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</si>
  <si>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</si>
  <si>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</si>
  <si>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</si>
  <si>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</si>
  <si>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</si>
  <si>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</si>
  <si>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</si>
  <si>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</si>
  <si>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</si>
  <si>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</si>
  <si>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</si>
  <si>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</si>
  <si>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</si>
  <si>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</si>
  <si>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</si>
  <si>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</si>
  <si>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</si>
  <si>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</si>
  <si>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</si>
  <si>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</si>
  <si>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</si>
  <si>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</si>
  <si>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</si>
  <si>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</si>
  <si>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</si>
  <si>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</si>
  <si>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</si>
  <si>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</si>
  <si>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</si>
  <si>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</si>
  <si>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</si>
  <si>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</si>
  <si>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</si>
  <si>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</si>
  <si>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</si>
  <si>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</si>
  <si>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</si>
  <si>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</si>
  <si>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</si>
  <si>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</si>
  <si>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</si>
  <si>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</si>
  <si>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</si>
  <si>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</si>
  <si>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</si>
  <si>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</si>
  <si>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</si>
  <si>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</si>
  <si>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</si>
  <si>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</si>
  <si>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</si>
  <si>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</si>
  <si>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</si>
  <si>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</si>
  <si>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</si>
  <si>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</si>
  <si>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</si>
  <si>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</si>
  <si>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</si>
  <si>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</si>
  <si>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</si>
  <si>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</si>
  <si>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</si>
  <si>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</si>
  <si>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</si>
  <si>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</si>
  <si>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</si>
  <si>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</si>
  <si>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</si>
  <si>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</si>
  <si>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</si>
  <si>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</si>
  <si>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</si>
  <si>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</si>
  <si>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</si>
  <si>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</si>
  <si>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</si>
  <si>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</si>
  <si>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</si>
  <si>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</si>
  <si>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</si>
  <si>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</si>
  <si>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</si>
  <si>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</si>
  <si>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</si>
  <si>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</si>
  <si>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</si>
  <si>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</si>
  <si>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</si>
  <si>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</si>
  <si>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</si>
  <si>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</si>
  <si>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</si>
  <si>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</si>
  <si>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</si>
  <si>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</si>
  <si>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</si>
  <si>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</si>
  <si>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</si>
  <si>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</si>
  <si>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</si>
  <si>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</si>
  <si>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</si>
  <si>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</si>
  <si>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</si>
  <si>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</si>
  <si>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</si>
  <si>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</si>
  <si>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</si>
  <si>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</si>
  <si>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</si>
  <si>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</si>
  <si>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</si>
  <si>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</si>
  <si>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</si>
  <si>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</si>
  <si>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</si>
  <si>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</si>
  <si>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</si>
  <si>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</si>
  <si>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</si>
  <si>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</si>
  <si>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</si>
  <si>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</si>
  <si>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</si>
  <si>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</si>
  <si>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</si>
  <si>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</si>
  <si>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</si>
  <si>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</si>
  <si>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</si>
  <si>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</si>
  <si>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</si>
  <si>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</si>
  <si>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</si>
  <si>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</si>
  <si>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</si>
  <si>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</si>
  <si>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</si>
  <si>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</si>
  <si>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</si>
  <si>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</si>
  <si>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</si>
  <si>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</si>
  <si>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</si>
  <si>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</si>
  <si>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</si>
  <si>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</si>
  <si>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</si>
  <si>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</si>
  <si>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</si>
  <si>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</si>
  <si>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</si>
  <si>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</si>
  <si>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</si>
  <si>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</si>
  <si>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</si>
  <si>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</si>
  <si>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</si>
  <si>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</si>
  <si>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</si>
  <si>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</si>
  <si>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</si>
  <si>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</si>
  <si>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</si>
  <si>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</si>
  <si>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</si>
  <si>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</si>
  <si>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</si>
  <si>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</si>
  <si>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</si>
  <si>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</si>
  <si>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</si>
  <si>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</si>
  <si>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</si>
  <si>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</si>
  <si>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</si>
  <si>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</si>
  <si>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</si>
  <si>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</si>
  <si>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</si>
  <si>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</si>
  <si>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</si>
  <si>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</si>
  <si>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</si>
  <si>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</si>
  <si>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</si>
  <si>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</si>
  <si>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</si>
  <si>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</si>
  <si>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</si>
  <si>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</si>
  <si>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</si>
  <si>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</si>
  <si>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</si>
  <si>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</si>
  <si>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</si>
  <si>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</si>
  <si>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</si>
  <si>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</si>
  <si>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</si>
  <si>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</si>
  <si>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</si>
  <si>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</si>
  <si>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</si>
  <si>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</si>
  <si>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</si>
  <si>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</si>
  <si>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</si>
  <si>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</si>
  <si>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</si>
  <si>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</si>
  <si>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</si>
  <si>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</si>
  <si>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</si>
  <si>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</si>
  <si>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</si>
  <si>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</si>
  <si>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</si>
  <si>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</si>
  <si>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</si>
  <si>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</si>
  <si>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</si>
  <si>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</si>
  <si>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</si>
  <si>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</si>
  <si>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</si>
  <si>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</si>
  <si>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</si>
  <si>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</si>
  <si>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</si>
  <si>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</si>
  <si>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</si>
  <si>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</si>
  <si>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</si>
  <si>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</si>
  <si>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</si>
  <si>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</si>
  <si>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</si>
  <si>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</si>
  <si>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</si>
  <si>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</si>
  <si>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</si>
  <si>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</si>
  <si>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</si>
  <si>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</si>
  <si>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</si>
  <si>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</si>
  <si>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</si>
  <si>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</si>
  <si>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</si>
  <si>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</si>
  <si>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</si>
  <si>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</si>
  <si>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</si>
  <si>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</si>
  <si>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</si>
  <si>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</si>
  <si>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</si>
  <si>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</si>
  <si>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</si>
  <si>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</si>
  <si>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</si>
  <si>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</si>
  <si>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</si>
  <si>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</si>
  <si>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</si>
  <si>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</si>
  <si>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</si>
  <si>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</si>
  <si>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</si>
  <si>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</si>
  <si>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</si>
  <si>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</si>
  <si>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</si>
  <si>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</si>
  <si>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</si>
  <si>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</si>
  <si>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</si>
  <si>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</si>
  <si>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</si>
  <si>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</si>
  <si>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</si>
  <si>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</si>
  <si>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</si>
  <si>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</si>
  <si>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</si>
  <si>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</si>
  <si>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</si>
  <si>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</si>
  <si>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</si>
  <si>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</si>
  <si>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</si>
  <si>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</si>
  <si>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</si>
  <si>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</si>
  <si>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</si>
  <si>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</si>
  <si>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</si>
  <si>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</si>
  <si>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</si>
  <si>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</si>
  <si>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</si>
  <si>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</si>
  <si>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</si>
  <si>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</si>
  <si>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</si>
  <si>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</si>
  <si>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</si>
  <si>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</si>
  <si>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</si>
  <si>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</si>
  <si>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</si>
  <si>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</si>
  <si>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</si>
  <si>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</si>
  <si>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</si>
  <si>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</si>
  <si>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</si>
  <si>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</si>
  <si>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</si>
  <si>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</si>
  <si>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</si>
  <si>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</si>
  <si>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</si>
  <si>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</si>
  <si>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</si>
  <si>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</si>
  <si>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</si>
  <si>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</si>
  <si>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</si>
  <si>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</si>
  <si>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</si>
  <si>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</si>
  <si>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</si>
  <si>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</si>
  <si>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</si>
  <si>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</si>
  <si>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</si>
  <si>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</si>
  <si>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</si>
  <si>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</si>
  <si>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</si>
  <si>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</si>
  <si>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</si>
  <si>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</si>
  <si>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</si>
  <si>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</si>
  <si>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</si>
  <si>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</si>
  <si>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</si>
  <si>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</si>
  <si>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</si>
  <si>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</si>
  <si>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</si>
  <si>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</si>
  <si>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</si>
  <si>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</si>
  <si>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</si>
  <si>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</si>
  <si>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</si>
  <si>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</si>
  <si>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</si>
  <si>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</si>
  <si>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</si>
  <si>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</si>
  <si>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</si>
  <si>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</si>
  <si>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</si>
  <si>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</si>
  <si>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</si>
  <si>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</si>
  <si>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</si>
  <si>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</si>
  <si>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</si>
  <si>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</si>
  <si>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</si>
  <si>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</si>
  <si>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</si>
  <si>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</si>
  <si>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</si>
  <si>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</si>
  <si>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</si>
  <si>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</si>
  <si>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</si>
  <si>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</si>
  <si>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</si>
  <si>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</si>
  <si>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</si>
  <si>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</si>
  <si>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</si>
  <si>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</si>
  <si>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</si>
  <si>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</si>
  <si>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</si>
  <si>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</si>
  <si>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</si>
  <si>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</si>
  <si>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</si>
  <si>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</si>
  <si>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</si>
  <si>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</si>
  <si>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</si>
  <si>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</si>
  <si>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</si>
  <si>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</si>
  <si>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</si>
  <si>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</si>
  <si>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</si>
  <si>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</si>
  <si>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</si>
  <si>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</si>
  <si>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</si>
  <si>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</si>
  <si>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</si>
  <si>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</si>
  <si>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</si>
  <si>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</si>
  <si>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</si>
  <si>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</si>
  <si>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</si>
  <si>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</si>
  <si>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</si>
  <si>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</si>
  <si>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</si>
  <si>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</si>
  <si>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</si>
  <si>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</si>
  <si>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</si>
  <si>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</si>
  <si>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</si>
  <si>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</si>
  <si>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</si>
  <si>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</si>
  <si>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</si>
  <si>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</si>
  <si>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</si>
  <si>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</si>
  <si>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</si>
  <si>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</si>
  <si>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</si>
  <si>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</si>
  <si>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</si>
  <si>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</si>
  <si>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</si>
  <si>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</si>
  <si>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</si>
  <si>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</si>
  <si>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</si>
  <si>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</si>
  <si>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</si>
  <si>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</si>
  <si>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</si>
  <si>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</si>
  <si>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</si>
  <si>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</si>
  <si>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</si>
  <si>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</si>
  <si>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</si>
  <si>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</si>
  <si>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</si>
  <si>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</si>
  <si>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</si>
  <si>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</si>
  <si>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</si>
  <si>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</si>
  <si>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</si>
  <si>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</si>
  <si>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</si>
  <si>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</si>
  <si>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</si>
  <si>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</si>
  <si>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</si>
  <si>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</si>
  <si>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</si>
  <si>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</si>
  <si>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</si>
  <si>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</si>
  <si>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</si>
  <si>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</si>
  <si>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</si>
  <si>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</si>
  <si>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</si>
  <si>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</si>
  <si>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</si>
  <si>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</si>
  <si>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</si>
  <si>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</si>
  <si>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</si>
  <si>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</si>
  <si>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</si>
  <si>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</si>
  <si>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</si>
  <si>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</si>
  <si>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</si>
  <si>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</si>
  <si>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</si>
  <si>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</si>
  <si>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</si>
  <si>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</si>
  <si>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</si>
  <si>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</si>
  <si>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</si>
  <si>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</si>
  <si>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</si>
  <si>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</si>
  <si>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</si>
  <si>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</si>
  <si>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</si>
  <si>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</si>
  <si>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</si>
  <si>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</si>
  <si>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</si>
  <si>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</si>
  <si>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</si>
  <si>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</si>
  <si>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</si>
  <si>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</si>
  <si>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</si>
  <si>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</si>
  <si>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</si>
  <si>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</si>
  <si>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</si>
  <si>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</si>
  <si>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</si>
  <si>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</si>
  <si>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</si>
  <si>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</si>
  <si>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</si>
  <si>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</si>
  <si>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</si>
  <si>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</si>
  <si>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</si>
  <si>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</si>
  <si>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</si>
  <si>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</si>
  <si>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</si>
  <si>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</si>
  <si>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</si>
  <si>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</si>
  <si>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</si>
  <si>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</si>
  <si>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</si>
  <si>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</si>
  <si>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</si>
  <si>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</si>
  <si>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</si>
  <si>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</si>
  <si>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</si>
  <si>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</si>
  <si>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</si>
  <si>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</si>
  <si>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</si>
  <si>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</si>
  <si>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</si>
  <si>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</si>
  <si>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</si>
  <si>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</si>
  <si>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</si>
  <si>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</si>
  <si>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</si>
  <si>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</si>
  <si>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</si>
  <si>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</si>
  <si>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</si>
  <si>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</si>
  <si>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</si>
  <si>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</si>
  <si>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</si>
  <si>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</si>
  <si>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</si>
  <si>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</si>
  <si>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</si>
  <si>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</si>
  <si>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</si>
  <si>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</si>
  <si>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</si>
  <si>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</si>
  <si>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</si>
  <si>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</si>
  <si>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</si>
  <si>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</si>
  <si>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</si>
  <si>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</si>
  <si>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</si>
  <si>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</si>
  <si>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</si>
  <si>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</si>
  <si>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</si>
  <si>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</si>
  <si>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</si>
  <si>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</si>
  <si>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</si>
  <si>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</si>
  <si>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</si>
  <si>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</si>
  <si>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</si>
  <si>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</si>
  <si>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</si>
  <si>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</si>
  <si>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</si>
  <si>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</si>
  <si>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</si>
  <si>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</si>
  <si>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</si>
  <si>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</si>
  <si>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</si>
  <si>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</si>
  <si>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</si>
  <si>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</si>
  <si>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</si>
  <si>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</si>
  <si>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</si>
  <si>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</si>
  <si>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</si>
  <si>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</si>
  <si>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</si>
  <si>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</si>
  <si>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</si>
  <si>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</si>
  <si>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</si>
  <si>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</si>
  <si>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</si>
  <si>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</si>
  <si>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</si>
  <si>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</si>
  <si>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</si>
  <si>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</si>
  <si>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</si>
  <si>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</si>
  <si>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</si>
  <si>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</si>
  <si>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</si>
  <si>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</si>
  <si>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</si>
  <si>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</si>
  <si>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</si>
  <si>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</si>
  <si>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</si>
  <si>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</si>
  <si>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</si>
  <si>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</si>
  <si>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</si>
  <si>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</si>
  <si>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</si>
  <si>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</si>
  <si>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</si>
  <si>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</si>
  <si>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</si>
  <si>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</si>
  <si>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</si>
  <si>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</si>
  <si>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</si>
  <si>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</si>
  <si>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</si>
  <si>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</si>
  <si>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</si>
  <si>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</si>
  <si>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</si>
  <si>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</si>
  <si>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</si>
  <si>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</si>
  <si>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</si>
  <si>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</si>
  <si>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</si>
  <si>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</si>
  <si>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</si>
  <si>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</si>
  <si>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</si>
  <si>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</si>
  <si>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</si>
  <si>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</si>
  <si>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</si>
  <si>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</si>
  <si>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</si>
  <si>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</si>
  <si>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</si>
  <si>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</si>
  <si>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</si>
  <si>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</si>
  <si>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</si>
  <si>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</si>
  <si>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</si>
  <si>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</si>
  <si>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</si>
  <si>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</si>
  <si>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</si>
  <si>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</si>
  <si>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</si>
  <si>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</si>
  <si>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</si>
  <si>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</si>
  <si>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</si>
  <si>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</si>
  <si>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</si>
  <si>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</si>
  <si>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</si>
  <si>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</si>
  <si>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</si>
  <si>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</si>
  <si>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</si>
  <si>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</si>
  <si>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</si>
  <si>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</si>
  <si>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</si>
  <si>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</si>
  <si>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</si>
  <si>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</si>
  <si>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</si>
  <si>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</si>
  <si>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</si>
  <si>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</si>
  <si>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</si>
  <si>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</si>
  <si>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</si>
  <si>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</si>
  <si>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</si>
  <si>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</si>
  <si>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</si>
  <si>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</si>
  <si>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</si>
  <si>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</si>
  <si>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</si>
  <si>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</si>
  <si>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</si>
  <si>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</si>
  <si>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</si>
  <si>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</si>
  <si>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</si>
  <si>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</si>
  <si>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</si>
  <si>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</si>
  <si>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</si>
  <si>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</si>
  <si>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</si>
  <si>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</si>
  <si>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</si>
  <si>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</si>
  <si>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</si>
  <si>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</si>
  <si>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</si>
  <si>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</si>
  <si>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</si>
  <si>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</si>
  <si>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</si>
  <si>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</si>
  <si>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</si>
  <si>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</si>
  <si>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</si>
  <si>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</si>
  <si>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</si>
  <si>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</si>
  <si>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</si>
  <si>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</si>
  <si>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</si>
  <si>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</si>
  <si>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</si>
  <si>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</si>
  <si>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</si>
  <si>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</si>
  <si>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</si>
  <si>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</si>
  <si>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</si>
  <si>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</si>
  <si>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</si>
  <si>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</si>
  <si>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</si>
  <si>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</si>
  <si>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</si>
  <si>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</si>
  <si>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</si>
  <si>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</si>
  <si>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</si>
  <si>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</si>
  <si>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</si>
  <si>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</si>
  <si>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</si>
  <si>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</si>
  <si>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</si>
  <si>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</si>
  <si>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</si>
  <si>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</si>
  <si>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</si>
  <si>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</si>
  <si>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</si>
  <si>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</si>
  <si>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</si>
  <si>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</si>
  <si>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</si>
  <si>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</si>
  <si>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</si>
  <si>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</si>
  <si>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</si>
  <si>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</si>
  <si>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</si>
  <si>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</si>
  <si>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</si>
  <si>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</si>
  <si>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</si>
  <si>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</si>
  <si>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</si>
  <si>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</si>
  <si>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</si>
  <si>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</si>
  <si>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</si>
  <si>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</si>
  <si>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</si>
  <si>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</si>
  <si>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</si>
  <si>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</si>
  <si>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</si>
  <si>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</si>
  <si>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</si>
  <si>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</si>
  <si>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</si>
  <si>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</si>
  <si>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</si>
  <si>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</si>
  <si>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</si>
  <si>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</si>
  <si>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</si>
  <si>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</si>
  <si>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</si>
  <si>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</si>
  <si>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</si>
  <si>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</si>
  <si>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</si>
  <si>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</si>
  <si>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</si>
  <si>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</si>
  <si>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</si>
  <si>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</si>
  <si>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</si>
  <si>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</si>
  <si>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</si>
  <si>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</si>
  <si>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</si>
  <si>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</si>
  <si>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</si>
  <si>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</si>
  <si>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</si>
  <si>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</si>
  <si>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</si>
  <si>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</si>
  <si>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</si>
  <si>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</si>
  <si>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</si>
  <si>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</si>
  <si>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</si>
  <si>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</si>
  <si>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</si>
  <si>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</si>
  <si>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</si>
  <si>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</si>
  <si>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</si>
  <si>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</si>
  <si>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</si>
  <si>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</si>
  <si>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</si>
  <si>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</si>
  <si>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</si>
  <si>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</si>
  <si>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</si>
  <si>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</si>
  <si>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</si>
  <si>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</si>
  <si>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</si>
  <si>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</si>
  <si>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</si>
  <si>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</si>
  <si>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</si>
  <si>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</si>
  <si>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</si>
  <si>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</si>
  <si>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</si>
  <si>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</si>
  <si>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</si>
  <si>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</si>
  <si>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</si>
  <si>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</si>
  <si>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</si>
  <si>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</si>
  <si>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</si>
  <si>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</si>
  <si>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</si>
  <si>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</si>
  <si>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</si>
  <si>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</si>
  <si>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</si>
  <si>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</si>
  <si>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</si>
  <si>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</si>
  <si>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</si>
  <si>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</si>
  <si>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</si>
  <si>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</si>
  <si>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</si>
  <si>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</si>
  <si>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</si>
  <si>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</si>
  <si>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</si>
  <si>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</si>
  <si>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</si>
  <si>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</si>
  <si>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</si>
  <si>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</si>
  <si>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</si>
  <si>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</si>
  <si>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</si>
  <si>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</si>
  <si>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</si>
  <si>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</si>
  <si>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</si>
  <si>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</si>
  <si>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</si>
  <si>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</si>
  <si>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</si>
  <si>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</si>
  <si>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</si>
  <si>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</si>
  <si>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</si>
  <si>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</si>
  <si>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</si>
  <si>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</si>
  <si>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</si>
  <si>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</si>
  <si>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</si>
  <si>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</si>
  <si>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</si>
  <si>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</si>
  <si>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</si>
  <si>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</si>
  <si>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</si>
  <si>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</si>
  <si>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</si>
  <si>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</si>
  <si>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</si>
  <si>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</si>
  <si>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</si>
  <si>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</si>
  <si>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</si>
  <si>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</si>
  <si>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</si>
  <si>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</si>
  <si>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</si>
  <si>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</si>
  <si>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</si>
  <si>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</si>
  <si>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</si>
  <si>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</si>
  <si>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</si>
  <si>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</si>
  <si>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</si>
  <si>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</si>
  <si>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</si>
  <si>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</si>
  <si>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</si>
  <si>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</si>
  <si>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</si>
  <si>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</si>
  <si>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</si>
  <si>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</si>
  <si>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</si>
  <si>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</si>
  <si>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</si>
  <si>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</si>
  <si>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</si>
  <si>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</si>
  <si>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</si>
  <si>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</si>
  <si>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</si>
  <si>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</si>
  <si>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</si>
  <si>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</si>
  <si>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</si>
  <si>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</si>
  <si>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</si>
  <si>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</si>
  <si>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</si>
  <si>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</si>
  <si>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</si>
  <si>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</si>
  <si>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</si>
  <si>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</si>
  <si>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</si>
  <si>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</si>
  <si>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</si>
  <si>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</si>
  <si>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</si>
  <si>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</si>
  <si>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</si>
  <si>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</si>
  <si>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</si>
  <si>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</si>
  <si>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</si>
  <si>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</si>
  <si>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</si>
  <si>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</si>
  <si>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</si>
  <si>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</si>
  <si>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</si>
  <si>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</si>
  <si>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</si>
  <si>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</si>
  <si>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</si>
  <si>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</si>
  <si>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</si>
  <si>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</si>
  <si>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</si>
  <si>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</si>
  <si>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</si>
  <si>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</si>
  <si>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</si>
  <si>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</si>
  <si>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</si>
  <si>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</si>
  <si>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</si>
  <si>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</si>
  <si>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</si>
  <si>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</si>
  <si>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</si>
  <si>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</si>
  <si>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</si>
  <si>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</si>
  <si>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</si>
  <si>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</si>
  <si>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</si>
  <si>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</si>
  <si>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</si>
  <si>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</si>
  <si>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</si>
  <si>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</si>
  <si>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</si>
  <si>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</si>
  <si>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</si>
  <si>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</si>
  <si>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</si>
  <si>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</si>
  <si>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</si>
  <si>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</si>
  <si>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</si>
  <si>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</si>
  <si>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</si>
  <si>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</si>
  <si>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</si>
  <si>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</si>
  <si>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</si>
  <si>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</si>
  <si>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</si>
  <si>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</si>
  <si>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</si>
  <si>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</si>
  <si>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</si>
  <si>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</si>
  <si>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</si>
  <si>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</si>
  <si>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</si>
  <si>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</si>
  <si>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</si>
  <si>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</si>
  <si>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</si>
  <si>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</si>
  <si>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</si>
  <si>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</si>
  <si>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</si>
  <si>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</si>
  <si>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</si>
  <si>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</si>
  <si>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</si>
  <si>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</si>
  <si>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</si>
  <si>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</si>
  <si>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</si>
  <si>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</si>
  <si>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</si>
  <si>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</si>
  <si>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</si>
  <si>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</si>
  <si>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</si>
  <si>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</si>
  <si>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</si>
  <si>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</si>
  <si>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</si>
  <si>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</si>
  <si>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</si>
  <si>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</si>
  <si>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</si>
  <si>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</si>
  <si>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</si>
  <si>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</si>
  <si>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</si>
  <si>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</si>
  <si>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</si>
  <si>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</si>
  <si>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</si>
  <si>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</si>
  <si>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</si>
  <si>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</si>
  <si>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</si>
  <si>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</si>
  <si>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</si>
  <si>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</si>
  <si>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</si>
  <si>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</si>
  <si>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</si>
  <si>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</si>
  <si>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</si>
  <si>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</si>
  <si>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</si>
  <si>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</si>
  <si>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</si>
  <si>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</si>
  <si>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</si>
  <si>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</si>
  <si>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</si>
  <si>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</si>
  <si>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</si>
  <si>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</si>
  <si>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</si>
  <si>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</si>
  <si>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</si>
  <si>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</si>
  <si>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</si>
  <si>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</si>
  <si>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</si>
  <si>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</si>
  <si>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</si>
  <si>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</si>
  <si>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</si>
  <si>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</si>
  <si>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</si>
  <si>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</si>
  <si>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</si>
  <si>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</si>
  <si>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</si>
  <si>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</si>
  <si>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</si>
  <si>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</si>
  <si>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</si>
  <si>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</si>
  <si>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</si>
  <si>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</si>
  <si>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</si>
  <si>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</si>
  <si>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</si>
  <si>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</si>
  <si>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</si>
  <si>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</si>
  <si>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</si>
  <si>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</si>
  <si>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</si>
  <si>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</si>
  <si>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</si>
  <si>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</si>
  <si>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</si>
  <si>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</si>
  <si>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</si>
  <si>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</si>
  <si>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</si>
  <si>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</si>
  <si>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</si>
  <si>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</si>
  <si>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</si>
  <si>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</si>
  <si>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</si>
  <si>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</si>
  <si>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</si>
  <si>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</si>
  <si>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</si>
  <si>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</si>
  <si>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</si>
  <si>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</si>
  <si>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</si>
  <si>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</si>
  <si>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</si>
  <si>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</si>
  <si>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</si>
  <si>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</si>
  <si>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</si>
  <si>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</si>
  <si>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</si>
  <si>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</si>
  <si>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</si>
  <si>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</si>
  <si>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</si>
  <si>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</si>
  <si>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</si>
  <si>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</si>
  <si>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</si>
  <si>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</si>
  <si>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</si>
  <si>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</si>
  <si>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</si>
  <si>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</si>
  <si>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</si>
  <si>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</si>
  <si>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</si>
  <si>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</si>
  <si>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</si>
  <si>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</si>
  <si>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</si>
  <si>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</si>
  <si>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</si>
  <si>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</si>
  <si>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</si>
  <si>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</si>
  <si>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</si>
  <si>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</si>
  <si>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</si>
  <si>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</si>
  <si>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</si>
  <si>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</si>
  <si>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</si>
  <si>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</si>
  <si>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</si>
  <si>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</si>
  <si>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</si>
  <si>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</si>
  <si>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</si>
  <si>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</si>
  <si>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</si>
  <si>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</si>
  <si>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</si>
  <si>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</si>
  <si>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</si>
  <si>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</si>
  <si>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</si>
  <si>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</si>
  <si>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</si>
  <si>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</si>
  <si>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</si>
  <si>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</si>
  <si>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</si>
  <si>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</si>
  <si>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</si>
  <si>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</si>
  <si>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</si>
  <si>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</si>
  <si>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</si>
  <si>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</si>
  <si>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</si>
  <si>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</si>
  <si>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</si>
  <si>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</si>
  <si>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</si>
  <si>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</si>
  <si>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</si>
  <si>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</si>
  <si>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</si>
  <si>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</si>
  <si>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</si>
  <si>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</si>
  <si>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</si>
  <si>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</si>
  <si>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</si>
  <si>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</si>
  <si>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</si>
  <si>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</si>
  <si>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</si>
  <si>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</si>
  <si>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</si>
  <si>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</si>
  <si>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</si>
  <si>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</si>
  <si>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</si>
  <si>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</si>
  <si>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</si>
  <si>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</si>
  <si>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</si>
  <si>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</si>
  <si>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</si>
  <si>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</si>
  <si>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</si>
  <si>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</si>
  <si>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</si>
  <si>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</si>
  <si>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</si>
  <si>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</si>
  <si>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</si>
  <si>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</si>
  <si>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</si>
  <si>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</si>
  <si>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</si>
  <si>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</si>
  <si>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</si>
  <si>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</si>
  <si>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</si>
  <si>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</si>
  <si>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</si>
  <si>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</si>
  <si>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</si>
  <si>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</si>
  <si>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</si>
  <si>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</si>
  <si>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</si>
  <si>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</si>
  <si>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</si>
  <si>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</si>
  <si>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</si>
  <si>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</si>
  <si>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</si>
  <si>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</si>
  <si>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</si>
  <si>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</si>
  <si>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</si>
  <si>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</si>
  <si>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</si>
  <si>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</si>
  <si>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</si>
  <si>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</si>
  <si>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</si>
  <si>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</si>
  <si>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</si>
  <si>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</si>
  <si>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</si>
  <si>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</si>
  <si>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</si>
  <si>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</si>
  <si>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</si>
  <si>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</si>
  <si>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</si>
  <si>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</si>
  <si>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</si>
  <si>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</si>
  <si>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</si>
  <si>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</si>
  <si>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</si>
  <si>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</si>
  <si>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</si>
  <si>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</si>
  <si>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</si>
  <si>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</si>
  <si>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</si>
  <si>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</si>
  <si>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</si>
  <si>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</si>
  <si>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</si>
  <si>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</si>
  <si>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</si>
  <si>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</si>
  <si>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</si>
  <si>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</si>
  <si>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</si>
  <si>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</si>
  <si>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</si>
  <si>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</si>
  <si>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</si>
  <si>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</si>
  <si>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</si>
  <si>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</si>
  <si>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</si>
  <si>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</si>
  <si>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</si>
  <si>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</si>
  <si>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</si>
  <si>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</si>
  <si>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</si>
  <si>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</si>
  <si>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</si>
  <si>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</si>
  <si>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</si>
  <si>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</si>
  <si>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</si>
  <si>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</si>
  <si>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</si>
  <si>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</si>
  <si>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</si>
  <si>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</si>
  <si>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</si>
  <si>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</si>
  <si>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</si>
  <si>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</si>
  <si>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</si>
  <si>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</si>
  <si>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</si>
  <si>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</si>
  <si>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</si>
  <si>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</si>
  <si>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</si>
  <si>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</si>
  <si>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</si>
  <si>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</si>
  <si>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</si>
  <si>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</si>
  <si>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</si>
  <si>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</si>
  <si>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</si>
  <si>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</si>
  <si>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</si>
  <si>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</si>
  <si>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</si>
  <si>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</si>
  <si>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</si>
  <si>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</si>
  <si>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</si>
  <si>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</si>
  <si>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</si>
  <si>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</si>
  <si>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</si>
  <si>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</si>
  <si>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</si>
  <si>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</si>
  <si>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</si>
  <si>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</si>
  <si>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</si>
  <si>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</si>
  <si>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</si>
  <si>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</si>
  <si>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</si>
  <si>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</si>
  <si>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</si>
  <si>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</si>
  <si>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</si>
  <si>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</si>
  <si>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</si>
  <si>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</si>
  <si>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</si>
  <si>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</si>
  <si>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</si>
  <si>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</si>
  <si>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</si>
  <si>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</si>
  <si>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</si>
  <si>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</si>
  <si>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</si>
  <si>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</si>
  <si>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</si>
  <si>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</si>
  <si>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</si>
  <si>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</si>
  <si>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</si>
  <si>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</si>
  <si>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</si>
  <si>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</si>
  <si>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</si>
  <si>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</si>
  <si>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</si>
  <si>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</si>
  <si>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</si>
  <si>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</si>
  <si>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</si>
  <si>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</si>
  <si>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</si>
  <si>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</si>
  <si>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</si>
  <si>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</si>
  <si>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</si>
  <si>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</si>
  <si>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</si>
  <si>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</si>
  <si>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</si>
  <si>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</si>
  <si>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</si>
  <si>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</si>
  <si>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</si>
  <si>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</si>
  <si>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</si>
  <si>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</si>
  <si>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</si>
  <si>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</si>
  <si>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</si>
  <si>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</si>
  <si>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</si>
  <si>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</si>
  <si>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</si>
  <si>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</si>
  <si>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</si>
  <si>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</si>
  <si>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</si>
  <si>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</si>
  <si>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</si>
  <si>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</si>
  <si>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</si>
  <si>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</si>
  <si>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</si>
  <si>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</si>
  <si>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</si>
  <si>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</si>
  <si>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</si>
  <si>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</si>
  <si>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</si>
  <si>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</si>
  <si>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</si>
  <si>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</si>
  <si>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</si>
  <si>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</si>
  <si>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</si>
  <si>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</si>
  <si>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</si>
  <si>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</si>
  <si>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</si>
  <si>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</si>
  <si>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</si>
  <si>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</si>
  <si>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</si>
  <si>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</si>
  <si>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</si>
  <si>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</si>
  <si>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</si>
  <si>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</si>
  <si>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</si>
  <si>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</si>
  <si>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</si>
  <si>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</si>
  <si>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</si>
  <si>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</si>
  <si>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</si>
  <si>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</si>
  <si>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</si>
  <si>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</si>
  <si>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</si>
  <si>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</si>
  <si>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</si>
  <si>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</si>
  <si>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</si>
  <si>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</si>
  <si>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</si>
  <si>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</si>
  <si>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</si>
  <si>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</si>
  <si>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</si>
  <si>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</si>
  <si>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</si>
  <si>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</si>
  <si>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</si>
  <si>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</si>
  <si>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</si>
  <si>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</si>
  <si>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</si>
  <si>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</si>
  <si>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</si>
  <si>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</si>
  <si>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</si>
  <si>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</si>
  <si>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</si>
  <si>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</si>
  <si>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</si>
  <si>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</si>
  <si>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</si>
  <si>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</si>
  <si>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</si>
  <si>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</si>
  <si>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</si>
  <si>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</si>
  <si>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</si>
  <si>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</si>
  <si>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</si>
  <si>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</si>
  <si>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</si>
  <si>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</si>
  <si>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</si>
  <si>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</si>
  <si>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</si>
  <si>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</si>
  <si>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</si>
  <si>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</si>
  <si>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</si>
  <si>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</si>
  <si>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</si>
  <si>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</si>
  <si>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</si>
  <si>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</si>
  <si>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</si>
  <si>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</si>
  <si>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</si>
  <si>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</si>
  <si>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</si>
  <si>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</si>
  <si>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</si>
  <si>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</si>
  <si>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</si>
  <si>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</si>
  <si>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</si>
  <si>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</si>
  <si>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</si>
  <si>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</si>
  <si>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</si>
  <si>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</si>
  <si>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</si>
  <si>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</si>
  <si>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</si>
  <si>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</si>
  <si>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</si>
  <si>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</si>
  <si>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</si>
  <si>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</si>
  <si>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</si>
  <si>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</si>
  <si>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</si>
  <si>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</si>
  <si>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</si>
  <si>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</si>
  <si>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</si>
  <si>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</si>
  <si>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</si>
  <si>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</si>
  <si>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</si>
  <si>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</si>
  <si>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</si>
  <si>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</si>
  <si>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</si>
  <si>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</si>
  <si>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</si>
  <si>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</si>
  <si>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</si>
  <si>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</si>
  <si>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</si>
  <si>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</si>
  <si>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</si>
  <si>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</si>
  <si>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</si>
  <si>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</si>
  <si>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</si>
  <si>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</si>
  <si>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</si>
  <si>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</si>
  <si>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</si>
  <si>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</si>
  <si>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</si>
  <si>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</si>
  <si>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</si>
  <si>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</si>
  <si>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</si>
  <si>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</si>
  <si>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</si>
  <si>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</si>
  <si>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</si>
  <si>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</si>
  <si>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</si>
  <si>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</si>
  <si>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</si>
  <si>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</si>
  <si>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</si>
  <si>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</si>
  <si>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</si>
  <si>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</si>
  <si>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</si>
  <si>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</si>
  <si>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</si>
  <si>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</si>
  <si>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</si>
  <si>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</si>
  <si>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</si>
  <si>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</si>
  <si>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</si>
  <si>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</si>
  <si>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</si>
  <si>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</si>
  <si>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</si>
  <si>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</si>
  <si>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</si>
  <si>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</si>
  <si>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</si>
  <si>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</si>
  <si>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</si>
  <si>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</si>
  <si>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</si>
  <si>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</si>
  <si>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</si>
  <si>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</si>
  <si>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</si>
  <si>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</si>
  <si>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</si>
  <si>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</si>
  <si>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</si>
  <si>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</si>
  <si>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</si>
  <si>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</si>
  <si>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</si>
  <si>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</si>
  <si>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</si>
  <si>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</si>
  <si>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</si>
  <si>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</si>
  <si>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</si>
  <si>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</si>
  <si>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</si>
  <si>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</si>
  <si>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</si>
  <si>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</si>
  <si>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</si>
  <si>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</si>
  <si>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</si>
  <si>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</si>
  <si>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</si>
  <si>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</si>
  <si>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</si>
  <si>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</si>
  <si>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</si>
  <si>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</si>
  <si>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</si>
  <si>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</si>
  <si>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</si>
  <si>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</si>
  <si>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</si>
  <si>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</si>
  <si>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</si>
  <si>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</si>
  <si>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</si>
  <si>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</si>
  <si>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</si>
  <si>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</si>
  <si>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</si>
  <si>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</si>
  <si>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</si>
  <si>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</si>
  <si>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</si>
  <si>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</si>
  <si>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</si>
  <si>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</si>
  <si>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</si>
  <si>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</si>
  <si>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</si>
  <si>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</si>
  <si>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</si>
  <si>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</si>
  <si>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</si>
  <si>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</si>
  <si>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</si>
  <si>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</si>
  <si>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</si>
  <si>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</si>
  <si>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</si>
  <si>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</si>
  <si>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</si>
  <si>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</si>
  <si>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</si>
  <si>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</si>
  <si>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</si>
  <si>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</si>
  <si>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</si>
  <si>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</si>
  <si>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</si>
  <si>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</si>
  <si>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</si>
  <si>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</si>
  <si>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</si>
  <si>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</si>
  <si>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</si>
  <si>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</si>
  <si>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</si>
  <si>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</si>
  <si>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</si>
  <si>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</si>
  <si>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</si>
  <si>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</si>
  <si>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</si>
  <si>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</si>
  <si>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</si>
  <si>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</si>
  <si>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</si>
  <si>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</si>
  <si>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</si>
  <si>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</si>
  <si>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</si>
  <si>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</si>
  <si>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</si>
  <si>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</si>
  <si>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</si>
  <si>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</si>
  <si>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</si>
  <si>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</si>
  <si>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</si>
  <si>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</si>
  <si>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</si>
  <si>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</si>
  <si>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</si>
  <si>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</si>
  <si>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</si>
  <si>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</si>
  <si>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</si>
  <si>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</si>
  <si>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</si>
  <si>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</si>
  <si>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</si>
  <si>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</si>
  <si>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</si>
  <si>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</si>
  <si>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</si>
  <si>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</si>
  <si>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</si>
  <si>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</si>
  <si>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</si>
  <si>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</si>
  <si>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</si>
  <si>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</si>
  <si>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</si>
  <si>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</si>
  <si>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</si>
  <si>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</si>
  <si>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</si>
  <si>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</si>
  <si>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</si>
  <si>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</si>
  <si>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</si>
  <si>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</si>
  <si>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</si>
  <si>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</si>
  <si>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</si>
  <si>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</si>
  <si>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</si>
  <si>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</si>
  <si>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</si>
  <si>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</si>
  <si>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</si>
  <si>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</si>
  <si>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</si>
  <si>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</si>
  <si>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</si>
  <si>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</si>
  <si>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</si>
  <si>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</si>
  <si>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</si>
  <si>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</si>
  <si>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</si>
  <si>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</si>
  <si>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</si>
  <si>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</si>
  <si>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</si>
  <si>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</si>
  <si>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</si>
  <si>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</si>
  <si>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</si>
  <si>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</si>
  <si>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</si>
  <si>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</si>
  <si>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</si>
  <si>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</si>
  <si>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</si>
  <si>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</si>
  <si>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</si>
  <si>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</si>
  <si>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</si>
  <si>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</si>
  <si>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</si>
  <si>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</si>
  <si>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</si>
  <si>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</si>
  <si>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</si>
  <si>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</si>
  <si>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</si>
  <si>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</si>
  <si>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</si>
  <si>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</si>
  <si>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</si>
  <si>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</si>
  <si>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</si>
  <si>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</si>
  <si>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</si>
  <si>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</si>
  <si>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</si>
  <si>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</si>
  <si>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</si>
  <si>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</si>
  <si>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</si>
  <si>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</si>
  <si>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</si>
  <si>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</si>
  <si>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</si>
  <si>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</si>
  <si>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</si>
  <si>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</si>
  <si>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</si>
  <si>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</si>
  <si>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</si>
  <si>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</si>
  <si>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</si>
  <si>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</si>
  <si>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</si>
  <si>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</si>
  <si>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</si>
  <si>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</si>
  <si>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</si>
  <si>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</si>
  <si>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</si>
  <si>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</si>
  <si>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</si>
  <si>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</si>
  <si>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</si>
  <si>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</si>
  <si>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</si>
  <si>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</si>
  <si>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</si>
  <si>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</si>
  <si>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</si>
  <si>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</si>
  <si>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</si>
  <si>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</si>
  <si>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</si>
  <si>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</si>
  <si>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</si>
  <si>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</si>
  <si>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</si>
  <si>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</si>
  <si>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</si>
  <si>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</si>
  <si>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</si>
  <si>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</si>
  <si>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</si>
  <si>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</si>
  <si>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</si>
  <si>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</si>
  <si>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</si>
  <si>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</si>
  <si>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</si>
  <si>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</si>
  <si>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</si>
  <si>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</si>
  <si>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</si>
  <si>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</si>
  <si>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</si>
  <si>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</si>
  <si>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</si>
  <si>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</si>
  <si>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</si>
  <si>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</si>
  <si>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</si>
  <si>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</si>
  <si>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</si>
  <si>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</si>
  <si>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</si>
  <si>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</si>
  <si>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</si>
  <si>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</si>
  <si>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</si>
  <si>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</si>
  <si>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</si>
  <si>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</si>
  <si>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</si>
  <si>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</si>
  <si>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</si>
  <si>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</si>
  <si>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</si>
  <si>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</si>
  <si>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</si>
  <si>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</si>
  <si>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</si>
  <si>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</si>
  <si>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</si>
  <si>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</si>
  <si>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</si>
  <si>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</si>
  <si>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</si>
  <si>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</si>
  <si>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</si>
  <si>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</si>
  <si>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</si>
  <si>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</si>
  <si>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</si>
  <si>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</si>
  <si>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</si>
  <si>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</si>
  <si>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</si>
  <si>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</si>
  <si>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</si>
  <si>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</si>
  <si>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</si>
  <si>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</si>
  <si>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</si>
  <si>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</si>
  <si>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</si>
  <si>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</si>
  <si>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</si>
  <si>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</si>
  <si>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</si>
  <si>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</si>
  <si>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</si>
  <si>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</si>
  <si>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</si>
  <si>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</si>
  <si>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</si>
  <si>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</si>
  <si>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</si>
  <si>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</si>
  <si>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</si>
  <si>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</si>
  <si>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</si>
  <si>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</si>
  <si>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</si>
  <si>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</si>
  <si>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</si>
  <si>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</si>
  <si>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</si>
  <si>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</si>
  <si>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</si>
  <si>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</si>
  <si>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</si>
  <si>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</si>
  <si>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</si>
  <si>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</si>
  <si>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</si>
  <si>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</si>
  <si>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</si>
  <si>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</si>
  <si>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</si>
  <si>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</si>
  <si>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</si>
  <si>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</si>
  <si>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</si>
  <si>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</si>
  <si>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</si>
  <si>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</si>
  <si>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</si>
  <si>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</si>
  <si>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</si>
  <si>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</si>
  <si>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</si>
  <si>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</si>
  <si>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</si>
  <si>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</si>
  <si>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</si>
  <si>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</si>
  <si>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</si>
  <si>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</si>
  <si>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</si>
  <si>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</si>
  <si>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</si>
  <si>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</si>
  <si>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</si>
  <si>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</si>
  <si>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</si>
  <si>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</si>
  <si>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</si>
  <si>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</si>
  <si>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</si>
  <si>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</si>
  <si>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</si>
  <si>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</si>
  <si>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</si>
  <si>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</si>
  <si>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</si>
  <si>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</si>
  <si>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</si>
  <si>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</si>
  <si>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</si>
  <si>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</si>
  <si>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</si>
  <si>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</si>
  <si>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</si>
  <si>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</si>
  <si>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</si>
  <si>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</si>
  <si>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</si>
  <si>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</si>
  <si>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</si>
  <si>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</si>
  <si>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</si>
  <si>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</si>
  <si>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</si>
  <si>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</si>
  <si>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</si>
  <si>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</si>
  <si>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</si>
  <si>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</si>
  <si>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</si>
  <si>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</si>
  <si>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</si>
  <si>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</si>
  <si>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</si>
  <si>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</si>
  <si>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</si>
  <si>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</si>
  <si>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</si>
  <si>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</si>
  <si>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</si>
  <si>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</si>
  <si>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</si>
  <si>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</si>
  <si>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</si>
  <si>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</si>
  <si>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</si>
  <si>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</si>
  <si>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</si>
  <si>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</si>
  <si>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</si>
  <si>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</si>
  <si>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</si>
  <si>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</si>
  <si>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</si>
  <si>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</si>
  <si>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</si>
  <si>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</si>
  <si>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</si>
  <si>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</si>
  <si>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</si>
  <si>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</si>
  <si>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</si>
  <si>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</si>
  <si>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</si>
  <si>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</si>
  <si>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</si>
  <si>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</si>
  <si>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</si>
  <si>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</si>
  <si>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</si>
  <si>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</si>
  <si>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</si>
  <si>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</si>
  <si>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</si>
  <si>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</si>
  <si>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</si>
  <si>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</si>
  <si>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</si>
  <si>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</si>
  <si>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</si>
  <si>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</si>
  <si>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</si>
  <si>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</si>
  <si>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</si>
  <si>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</si>
  <si>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</si>
  <si>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</si>
  <si>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</si>
  <si>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</si>
  <si>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</si>
  <si>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</si>
  <si>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</si>
  <si>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</si>
  <si>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</si>
  <si>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</si>
  <si>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</si>
  <si>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</si>
  <si>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</si>
  <si>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</si>
  <si>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</si>
  <si>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</si>
  <si>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</si>
  <si>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</si>
  <si>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</si>
  <si>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</si>
  <si>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</si>
  <si>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</si>
  <si>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</si>
  <si>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</si>
  <si>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</si>
  <si>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</si>
  <si>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</si>
  <si>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</si>
  <si>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</si>
  <si>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</si>
  <si>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</si>
  <si>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</si>
  <si>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</si>
  <si>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</si>
  <si>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</si>
  <si>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</si>
  <si>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</si>
  <si>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</si>
  <si>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</si>
  <si>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</si>
  <si>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</si>
  <si>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</si>
  <si>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</si>
  <si>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</si>
  <si>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</si>
  <si>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</si>
  <si>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</si>
  <si>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</si>
  <si>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</si>
  <si>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</si>
  <si>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</si>
  <si>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</si>
  <si>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</si>
  <si>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</si>
  <si>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</si>
  <si>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</si>
  <si>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</si>
  <si>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</si>
  <si>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</si>
  <si>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</si>
  <si>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</si>
  <si>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</si>
  <si>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</si>
  <si>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</si>
  <si>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</si>
  <si>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</si>
  <si>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</si>
  <si>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</si>
  <si>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</si>
  <si>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</si>
  <si>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</si>
  <si>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</si>
  <si>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</si>
  <si>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</si>
  <si>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</si>
  <si>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</si>
  <si>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</si>
  <si>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</si>
  <si>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</si>
  <si>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</si>
  <si>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</si>
  <si>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</si>
  <si>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</si>
  <si>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</si>
  <si>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</si>
  <si>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</si>
  <si>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</si>
  <si>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</si>
  <si>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</si>
  <si>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</si>
  <si>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</si>
  <si>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</si>
  <si>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</si>
  <si>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</si>
  <si>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Fujian Evergreen New Energy Technology co.,ltd</t>
  </si>
  <si>
    <t>CID003279</t>
  </si>
  <si>
    <t>Mine de Bou-Azzer</t>
  </si>
  <si>
    <t>Tazenakht</t>
  </si>
  <si>
    <t>TCI TELECOMUNICAZIONI ITALIA SRL</t>
  </si>
  <si>
    <t>via Parma 14, 21047 Saronno</t>
  </si>
  <si>
    <t xml:space="preserve">Giovanni Spalice </t>
  </si>
  <si>
    <t>g.spalice@tci.it</t>
  </si>
  <si>
    <t>+39 02964161</t>
  </si>
  <si>
    <t>Dr. Gianfranco Librandi</t>
  </si>
  <si>
    <t>CEO</t>
  </si>
  <si>
    <t>tci@tci.it</t>
  </si>
  <si>
    <t>+3902964161</t>
  </si>
  <si>
    <t>https://www.tci.it/</t>
  </si>
  <si>
    <t>Present in the electronic components used</t>
  </si>
  <si>
    <t>See Smelter list</t>
  </si>
  <si>
    <t>All information received are included</t>
  </si>
  <si>
    <t>We use EMRT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</si>
</sst>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9">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4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7B8AE49-FD58-4FC3-BE94-25A84289F068}"/>
    </customSheetView>
    <customSheetView guid="{4BDF1A28-30D5-449D-B20E-D6C97EF9FAE1}" showAutoFilter="1">
      <selection activeCell="C174" sqref="C174"/>
      <pageMargins left="0" right="0" top="0" bottom="0" header="0" footer="0"/>
      <pageSetup paperSize="9" orientation="portrait"/>
      <autoFilter ref="B1:N1" xr:uid="{A563E732-74C6-4ABB-8A72-DEA7B965D63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77F9AAF-4BF6-436F-A855-CCDCB3774E41}"/>
    </customSheetView>
    <customSheetView guid="{4BDF1A28-30D5-449D-B20E-D6C97EF9FAE1}" showAutoFilter="1">
      <selection activeCell="C1" sqref="C1:D65536"/>
      <pageMargins left="0" right="0" top="0" bottom="0" header="0" footer="0"/>
      <pageSetup orientation="portrait"/>
      <autoFilter ref="B1:C1" xr:uid="{7FD66551-1EFF-4971-9A77-B6955F35A69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404"/>
      <c r="B2" s="1" t="s">
        <v>1</v>
      </c>
      <c r="C2" s="2"/>
      <c r="D2" s="146"/>
      <c r="E2" s="2"/>
      <c r="F2" s="2"/>
      <c r="G2" s="24"/>
    </row>
    <row r="3" spans="1:7">
      <c r="A3" s="404"/>
      <c r="B3" s="2" t="s">
        <v>2</v>
      </c>
      <c r="C3" s="1"/>
      <c r="D3" s="147"/>
      <c r="E3" s="2"/>
      <c r="F3" s="1"/>
      <c r="G3" s="24"/>
    </row>
    <row r="4" spans="1:7" ht="16.2">
      <c r="A4" s="404"/>
      <c r="B4" s="183" t="s">
        <v>3</v>
      </c>
      <c r="C4" s="184"/>
      <c r="D4" s="185"/>
      <c r="E4" s="2"/>
      <c r="F4" s="184"/>
      <c r="G4" s="24"/>
    </row>
    <row r="5" spans="1:7">
      <c r="A5" s="404"/>
      <c r="B5" s="189" t="s">
        <v>4</v>
      </c>
      <c r="C5" s="186"/>
      <c r="D5" s="187"/>
      <c r="E5" s="2"/>
      <c r="F5" s="186"/>
      <c r="G5" s="24"/>
    </row>
    <row r="6" spans="1:7">
      <c r="A6" s="404"/>
      <c r="B6" s="2"/>
      <c r="C6" s="2"/>
      <c r="D6" s="146"/>
      <c r="E6" s="2"/>
      <c r="F6" s="2"/>
      <c r="G6" s="24"/>
    </row>
    <row r="7" spans="1:7">
      <c r="A7" s="404"/>
      <c r="B7" s="2"/>
      <c r="C7" s="2"/>
      <c r="D7" s="146"/>
      <c r="E7" s="2"/>
      <c r="F7" s="2"/>
      <c r="G7" s="24"/>
    </row>
    <row r="8" spans="1:7">
      <c r="A8" s="404"/>
      <c r="B8" s="2"/>
      <c r="C8" s="2"/>
      <c r="D8" s="146"/>
      <c r="E8" s="2"/>
      <c r="F8" s="2"/>
      <c r="G8" s="24"/>
    </row>
    <row r="9" spans="1:7" ht="20.25" customHeight="1">
      <c r="A9" s="404"/>
      <c r="B9" s="406" t="s">
        <v>5</v>
      </c>
      <c r="C9" s="406"/>
      <c r="D9" s="406"/>
      <c r="E9" s="406"/>
      <c r="F9" s="406"/>
      <c r="G9" s="24"/>
    </row>
    <row r="10" spans="1:7" ht="27" customHeight="1">
      <c r="A10" s="404"/>
      <c r="B10" s="407" t="s">
        <v>6</v>
      </c>
      <c r="C10" s="407"/>
      <c r="D10" s="407"/>
      <c r="E10" s="407"/>
      <c r="F10" s="407"/>
      <c r="G10" s="24"/>
    </row>
    <row r="11" spans="1:7" ht="82.5" customHeight="1">
      <c r="A11" s="404"/>
      <c r="B11" s="408"/>
      <c r="C11" s="408"/>
      <c r="D11" s="408"/>
      <c r="E11" s="408"/>
      <c r="F11" s="408"/>
      <c r="G11" s="24"/>
    </row>
    <row r="12" spans="1:7">
      <c r="A12" s="404"/>
      <c r="B12" s="173" t="s">
        <v>7</v>
      </c>
      <c r="C12" s="174" t="s">
        <v>8</v>
      </c>
      <c r="D12" s="175" t="s">
        <v>9</v>
      </c>
      <c r="E12" s="174" t="s">
        <v>10</v>
      </c>
      <c r="F12" s="174" t="s">
        <v>11</v>
      </c>
      <c r="G12" s="24"/>
    </row>
    <row r="13" spans="1:7" ht="57">
      <c r="A13" s="404"/>
      <c r="B13" s="287">
        <v>1</v>
      </c>
      <c r="C13" s="225" t="s">
        <v>12</v>
      </c>
      <c r="D13" s="226">
        <v>44489</v>
      </c>
      <c r="E13" s="225" t="s">
        <v>12182</v>
      </c>
      <c r="F13" s="227" t="s">
        <v>12191</v>
      </c>
      <c r="G13" s="24"/>
    </row>
    <row r="14" spans="1:7" ht="57">
      <c r="A14" s="404"/>
      <c r="B14" s="224">
        <v>1.01</v>
      </c>
      <c r="C14" s="225" t="s">
        <v>12</v>
      </c>
      <c r="D14" s="226">
        <v>44523</v>
      </c>
      <c r="E14" s="225" t="s">
        <v>12183</v>
      </c>
      <c r="F14" s="227" t="s">
        <v>12191</v>
      </c>
      <c r="G14" s="24"/>
    </row>
    <row r="15" spans="1:7" ht="57">
      <c r="A15" s="404"/>
      <c r="B15" s="224">
        <v>1.02</v>
      </c>
      <c r="C15" s="225" t="s">
        <v>12</v>
      </c>
      <c r="D15" s="226">
        <v>44553</v>
      </c>
      <c r="E15" s="225" t="s">
        <v>12184</v>
      </c>
      <c r="F15" s="227" t="s">
        <v>12191</v>
      </c>
      <c r="G15" s="24"/>
    </row>
    <row r="16" spans="1:7" ht="91.2">
      <c r="A16" s="404"/>
      <c r="B16" s="224">
        <v>1.1000000000000001</v>
      </c>
      <c r="C16" s="225" t="s">
        <v>12</v>
      </c>
      <c r="D16" s="226">
        <v>44848</v>
      </c>
      <c r="E16" s="225" t="s">
        <v>12185</v>
      </c>
      <c r="F16" s="227" t="s">
        <v>12192</v>
      </c>
      <c r="G16" s="24"/>
    </row>
    <row r="17" spans="1:7" ht="45.6">
      <c r="A17" s="404"/>
      <c r="B17" s="224">
        <v>1.1100000000000001</v>
      </c>
      <c r="C17" s="225" t="s">
        <v>12</v>
      </c>
      <c r="D17" s="226">
        <v>44869</v>
      </c>
      <c r="E17" s="225" t="s">
        <v>12186</v>
      </c>
      <c r="F17" s="227" t="s">
        <v>12192</v>
      </c>
      <c r="G17" s="24"/>
    </row>
    <row r="18" spans="1:7" ht="45.6">
      <c r="A18" s="404"/>
      <c r="B18" s="224">
        <v>1.2</v>
      </c>
      <c r="C18" s="225" t="s">
        <v>12</v>
      </c>
      <c r="D18" s="226">
        <v>45058</v>
      </c>
      <c r="E18" s="225" t="s">
        <v>12235</v>
      </c>
      <c r="F18" s="227" t="s">
        <v>12193</v>
      </c>
      <c r="G18" s="24"/>
    </row>
    <row r="19" spans="1:7" ht="57">
      <c r="A19" s="404"/>
      <c r="B19" s="224">
        <v>1.3</v>
      </c>
      <c r="C19" s="225" t="s">
        <v>12</v>
      </c>
      <c r="D19" s="226">
        <v>45408</v>
      </c>
      <c r="E19" s="288" t="s">
        <v>18595</v>
      </c>
      <c r="F19" s="227" t="s">
        <v>12236</v>
      </c>
      <c r="G19" s="24"/>
    </row>
    <row r="20" spans="1:7" ht="57">
      <c r="A20" s="404"/>
      <c r="B20" s="293" t="s">
        <v>18598</v>
      </c>
      <c r="C20" s="225" t="s">
        <v>12</v>
      </c>
      <c r="D20" s="226">
        <v>45772</v>
      </c>
      <c r="E20" s="288" t="s">
        <v>19154</v>
      </c>
      <c r="F20" s="227" t="s">
        <v>19278</v>
      </c>
      <c r="G20" s="24"/>
    </row>
    <row r="21" spans="1:7" ht="13.2" thickBot="1">
      <c r="A21" s="405"/>
      <c r="B21" s="409" t="str">
        <f ca="1">OFFSET(L!$C$1,MATCH("General"&amp;"Cpy",L!$A:$A,0)-1,SL,,)</f>
        <v>© 2025 Responsible Minerals Initiative. All rights reserved.</v>
      </c>
      <c r="C21" s="409"/>
      <c r="D21" s="409"/>
      <c r="E21" s="409"/>
      <c r="F21" s="409"/>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410"/>
      <c r="B1" s="411"/>
      <c r="C1" s="411"/>
      <c r="D1" s="412"/>
    </row>
    <row r="2" spans="1:8" ht="16.2">
      <c r="A2" s="176"/>
      <c r="B2" s="177" t="str">
        <f ca="1">OFFSET(L!$C$1,MATCH("Definitions"&amp;ADDRESS(ROW(),COLUMN(),4),L!$A:$A,0)-1,SL,,)</f>
        <v>ITEM</v>
      </c>
      <c r="C2" s="177" t="str">
        <f ca="1">OFFSET(L!$C$1,MATCH("Definitions"&amp;ADDRESS(ROW(),COLUMN(),4),L!$A:$A,0)-1,SL,,)</f>
        <v>DEFINITION</v>
      </c>
      <c r="D2" s="414"/>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14"/>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14"/>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4"/>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14"/>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14"/>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14"/>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14"/>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14"/>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14"/>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14"/>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14"/>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14"/>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14"/>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14"/>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14"/>
      <c r="E17" s="179"/>
    </row>
    <row r="18" spans="1:5" ht="81">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14"/>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14"/>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14"/>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14"/>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14"/>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4"/>
      <c r="E23" s="179"/>
    </row>
    <row r="24" spans="1:5" ht="162">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14"/>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14"/>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14"/>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14"/>
      <c r="E27" s="179"/>
    </row>
    <row r="28" spans="1:5" ht="16.2">
      <c r="A28" s="176"/>
      <c r="B28" s="416" t="str">
        <f ca="1">OFFSET(L!$C$1,MATCH("Definitions"&amp;ADDRESS(ROW(),COLUMN(),4),L!$A:$A,0)-1,SL,,)</f>
        <v>* Please consult the EMRT Completion Guide for additional details on primary and secondary sources for this mineral.</v>
      </c>
      <c r="C28" s="416"/>
      <c r="D28" s="414"/>
      <c r="E28" s="179"/>
    </row>
    <row r="29" spans="1:5" ht="16.2">
      <c r="A29" s="176"/>
      <c r="B29" s="413" t="str">
        <f ca="1">OFFSET(L!$C$1,MATCH("General"&amp;"Cpy",L!$A:$A,0)-1,SL,,)</f>
        <v>© 2025 Responsible Minerals Initiative. All rights reserved.</v>
      </c>
      <c r="C29" s="413"/>
      <c r="D29" s="414"/>
      <c r="E29" s="179"/>
    </row>
    <row r="30" spans="1:5" ht="13.2" thickBot="1">
      <c r="A30" s="180"/>
      <c r="B30" s="181"/>
      <c r="C30" s="181"/>
      <c r="D30" s="415"/>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03" zoomScaleNormal="100" workbookViewId="0">
      <selection activeCell="G123" sqref="G123:J123"/>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48"/>
      <c r="B1" s="449"/>
      <c r="C1" s="449"/>
      <c r="D1" s="449"/>
      <c r="E1" s="449"/>
      <c r="F1" s="449"/>
      <c r="G1" s="449"/>
      <c r="H1" s="449"/>
      <c r="I1" s="449"/>
      <c r="J1" s="449"/>
      <c r="K1" s="450"/>
      <c r="L1" s="102"/>
      <c r="P1" s="2"/>
      <c r="Q1" s="2"/>
      <c r="R1" s="2"/>
      <c r="S1" s="2"/>
      <c r="T1" s="2"/>
      <c r="U1" s="2"/>
      <c r="V1" s="2"/>
      <c r="W1" s="2"/>
      <c r="X1" s="2"/>
      <c r="Y1" s="2"/>
      <c r="Z1" s="2"/>
      <c r="AA1" s="2"/>
      <c r="AB1" s="2"/>
      <c r="AC1" s="2"/>
      <c r="AD1" s="2"/>
      <c r="AE1" s="2"/>
      <c r="AF1" s="2"/>
      <c r="AG1" s="2"/>
      <c r="AH1" s="2"/>
    </row>
    <row r="2" spans="1:34" ht="81.75" customHeight="1">
      <c r="A2" s="27"/>
      <c r="B2" s="283"/>
      <c r="C2" s="28"/>
      <c r="D2" s="451" t="str">
        <f ca="1">OFFSET(L!$C$1,MATCH("Declaration"&amp;ADDRESS(ROW(),COLUMN(),4),L!$A:$A,0)-1,SL,,)</f>
        <v>Extended Mineral Reporting Template (EMRT)</v>
      </c>
      <c r="E2" s="452"/>
      <c r="F2" s="452"/>
      <c r="G2" s="452"/>
      <c r="H2" s="452"/>
      <c r="I2" s="452"/>
      <c r="J2" s="453"/>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35"/>
      <c r="F3" s="436"/>
      <c r="G3" s="436"/>
      <c r="H3" s="436"/>
      <c r="I3" s="436"/>
      <c r="J3" s="190" t="s">
        <v>19342</v>
      </c>
      <c r="K3" s="29"/>
      <c r="L3" s="102"/>
      <c r="P3" s="38">
        <f>MATCH($D$3,LN,0)</f>
        <v>1</v>
      </c>
    </row>
    <row r="4" spans="1:34" ht="16.2">
      <c r="A4" s="27"/>
      <c r="B4" s="454" t="str">
        <f ca="1">OFFSET(L!$C$1,MATCH("Declaration"&amp;ADDRESS(ROW(),COLUMN(),4),L!$A:$A,0)-1,SL,,)</f>
        <v>The purpose of this document is to collect sourcing information on below minerals.</v>
      </c>
      <c r="C4" s="454"/>
      <c r="D4" s="454"/>
      <c r="E4" s="454"/>
      <c r="F4" s="454"/>
      <c r="G4" s="454"/>
      <c r="H4" s="454"/>
      <c r="I4" s="455" t="str">
        <f ca="1">OFFSET(L!$C$1,MATCH("Declaration"&amp;ADDRESS(ROW(),COLUMN(),4),L!$A:$A,0)-1,SL,,)</f>
        <v>Link to Terms &amp; Conditions</v>
      </c>
      <c r="J4" s="455"/>
      <c r="K4" s="29"/>
      <c r="L4" s="104"/>
      <c r="P4" s="2"/>
      <c r="Q4" s="2"/>
      <c r="R4" s="2"/>
      <c r="S4" s="2"/>
      <c r="T4" s="2"/>
      <c r="U4" s="2"/>
      <c r="V4" s="2"/>
      <c r="W4" s="2"/>
      <c r="X4" s="2"/>
      <c r="Y4" s="2"/>
      <c r="Z4" s="2"/>
      <c r="AA4" s="2"/>
      <c r="AB4" s="2"/>
      <c r="AC4" s="2"/>
      <c r="AD4" s="2"/>
      <c r="AE4" s="2"/>
      <c r="AF4" s="2"/>
      <c r="AG4" s="2"/>
      <c r="AH4" s="2"/>
    </row>
    <row r="5" spans="1:34" ht="16.2">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54" t="str">
        <f ca="1">OFFSET(L!$C$1,MATCH("Declaration"&amp;ADDRESS(ROW(),COLUMN(),4),L!$A:$A,0)-1,SL,,)</f>
        <v>Mandatory fields are noted with an asterisk (*).  Consult the instructions tab for guidance on how to answer each question.</v>
      </c>
      <c r="C6" s="454"/>
      <c r="D6" s="454"/>
      <c r="E6" s="454"/>
      <c r="F6" s="454"/>
      <c r="G6" s="454"/>
      <c r="H6" s="454"/>
      <c r="I6" s="454"/>
      <c r="J6" s="454"/>
      <c r="K6" s="29"/>
      <c r="L6" s="104" t="s">
        <v>18</v>
      </c>
      <c r="P6" s="2"/>
      <c r="Q6" s="2"/>
      <c r="R6" s="2"/>
      <c r="S6" s="2"/>
      <c r="T6" s="2"/>
      <c r="U6" s="2"/>
      <c r="V6" s="2"/>
      <c r="W6" s="2"/>
      <c r="X6" s="2"/>
      <c r="Y6" s="2"/>
      <c r="Z6" s="2"/>
      <c r="AA6" s="2"/>
      <c r="AB6" s="2"/>
      <c r="AC6" s="2"/>
      <c r="AD6" s="2"/>
      <c r="AE6" s="2"/>
      <c r="AF6" s="2"/>
      <c r="AG6" s="2"/>
      <c r="AH6" s="2"/>
    </row>
    <row r="7" spans="1:34" ht="16.2">
      <c r="A7" s="27"/>
      <c r="B7" s="456" t="str">
        <f ca="1">OFFSET(L!$C$1,MATCH("Declaration"&amp;ADDRESS(ROW(),COLUMN(),4),L!$A:$A,0)-1,SL,,)</f>
        <v>Company Information</v>
      </c>
      <c r="C7" s="456"/>
      <c r="D7" s="456"/>
      <c r="E7" s="456"/>
      <c r="F7" s="456"/>
      <c r="G7" s="456"/>
      <c r="H7" s="456"/>
      <c r="I7" s="456"/>
      <c r="J7" s="456"/>
      <c r="K7" s="29"/>
      <c r="L7" s="104"/>
      <c r="P7" s="2"/>
      <c r="Q7" s="2"/>
      <c r="R7" s="2"/>
      <c r="S7" s="2"/>
      <c r="T7" s="2"/>
      <c r="U7" s="2"/>
      <c r="V7" s="2"/>
      <c r="W7" s="2"/>
      <c r="X7" s="2"/>
      <c r="Y7" s="2"/>
      <c r="Z7" s="2"/>
      <c r="AA7" s="2"/>
      <c r="AB7" s="2"/>
      <c r="AC7" s="2"/>
      <c r="AD7" s="2"/>
      <c r="AE7" s="2"/>
      <c r="AF7" s="2"/>
      <c r="AG7" s="2"/>
      <c r="AH7" s="2"/>
    </row>
    <row r="8" spans="1:34" ht="45">
      <c r="A8" s="31"/>
      <c r="B8" s="65" t="str">
        <f ca="1">OFFSET(L!$C$1,MATCH("Declaration"&amp;ADDRESS(ROW(),COLUMN(),4),L!$A:$A,0)-1,SL,,)</f>
        <v>Company Name (*):</v>
      </c>
      <c r="C8" s="66"/>
      <c r="D8" s="390" t="s">
        <v>20055</v>
      </c>
      <c r="E8" s="391"/>
      <c r="F8" s="391"/>
      <c r="G8" s="391"/>
      <c r="H8" s="391"/>
      <c r="I8" s="391"/>
      <c r="J8" s="392"/>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41" t="s">
        <v>21</v>
      </c>
      <c r="E9" s="442"/>
      <c r="F9" s="442"/>
      <c r="G9" s="443"/>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7" t="str">
        <f ca="1">OFFSET(L!$C$1,MATCH("Declaration"&amp;ADDRESS(ROW(),COLUMN(),4)&amp;LEFT($D$9,1),L!$A:$A,0)-1,SL,,)</f>
        <v>Description of Scope: (*)</v>
      </c>
      <c r="C10" s="112"/>
      <c r="D10" s="395" t="s">
        <v>20064</v>
      </c>
      <c r="E10" s="396"/>
      <c r="F10" s="396"/>
      <c r="G10" s="396"/>
      <c r="H10" s="396"/>
      <c r="I10" s="396"/>
      <c r="J10" s="397"/>
      <c r="K10" s="29"/>
      <c r="L10" s="104"/>
      <c r="Q10" s="2"/>
      <c r="R10" s="2"/>
      <c r="S10" s="2"/>
      <c r="T10" s="2"/>
      <c r="U10" s="2"/>
      <c r="V10" s="2"/>
      <c r="W10" s="2"/>
      <c r="X10" s="2"/>
      <c r="Y10" s="2"/>
      <c r="Z10" s="2"/>
      <c r="AA10" s="2"/>
      <c r="AB10" s="2"/>
      <c r="AC10" s="2"/>
      <c r="AD10" s="2"/>
      <c r="AE10" s="2"/>
      <c r="AF10" s="2"/>
      <c r="AG10" s="2"/>
      <c r="AH10" s="2"/>
    </row>
    <row r="11" spans="1:34" ht="16.2">
      <c r="A11" s="31"/>
      <c r="B11" s="458"/>
      <c r="C11" s="112"/>
      <c r="D11" s="459" t="str">
        <f ca="1">IF(D9=Q9,OFFSET(L!$C$1,MATCH("Declaration"&amp;ADDRESS(ROW(),COLUMN(),4),L!$A:$A,0)-1,SL,,),"")</f>
        <v/>
      </c>
      <c r="E11" s="460"/>
      <c r="F11" s="460"/>
      <c r="G11" s="460"/>
      <c r="H11" s="460"/>
      <c r="I11" s="460"/>
      <c r="J11" s="461"/>
      <c r="K11" s="29"/>
      <c r="L11" s="104"/>
      <c r="Q11" s="2"/>
      <c r="R11" s="2"/>
      <c r="S11" s="2"/>
      <c r="T11" s="2"/>
      <c r="U11" s="2"/>
      <c r="V11" s="2"/>
      <c r="W11" s="2"/>
      <c r="X11" s="2"/>
      <c r="Y11" s="2"/>
      <c r="Z11" s="2"/>
      <c r="AA11" s="368" t="s">
        <v>19145</v>
      </c>
      <c r="AB11" s="2"/>
      <c r="AC11" s="2"/>
      <c r="AD11" s="2"/>
      <c r="AE11" s="2"/>
      <c r="AF11" s="2"/>
      <c r="AG11" s="2"/>
      <c r="AH11" s="2"/>
    </row>
    <row r="12" spans="1:34" ht="16.2">
      <c r="A12" s="31"/>
      <c r="B12" s="462" t="str">
        <f ca="1">OFFSET(L!$C$1,MATCH("Declaration"&amp;ADDRESS(ROW(),COLUMN(),4),L!$A:$A,0)-1,SL,,)</f>
        <v>Select Minerals/Metals in Scope (*):</v>
      </c>
      <c r="C12" s="112"/>
      <c r="D12" s="372" t="s">
        <v>40</v>
      </c>
      <c r="E12" s="464" t="s">
        <v>18641</v>
      </c>
      <c r="F12" s="465"/>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63" t="e">
        <f ca="1">OFFSET(L!$C$1,MATCH("Declaration"&amp;ADDRESS(ROW(),COLUMN(),4),L!$A:$A,0)-1,SL,,)</f>
        <v>#N/A</v>
      </c>
      <c r="C13" s="112"/>
      <c r="D13" s="372" t="s">
        <v>18644</v>
      </c>
      <c r="E13" s="464" t="s">
        <v>41</v>
      </c>
      <c r="F13" s="465"/>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66"/>
      <c r="C14" s="112"/>
      <c r="D14" s="298"/>
      <c r="E14" s="468"/>
      <c r="F14" s="469"/>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67"/>
      <c r="C15" s="112"/>
      <c r="D15" s="298"/>
      <c r="E15" s="468"/>
      <c r="F15" s="469"/>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38"/>
      <c r="E16" s="439"/>
      <c r="F16" s="439"/>
      <c r="G16" s="439"/>
      <c r="H16" s="439"/>
      <c r="I16" s="439"/>
      <c r="J16" s="440"/>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38"/>
      <c r="E17" s="439"/>
      <c r="F17" s="439"/>
      <c r="G17" s="439"/>
      <c r="H17" s="439"/>
      <c r="I17" s="439"/>
      <c r="J17" s="440"/>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30">
      <c r="A18" s="31"/>
      <c r="B18" s="33" t="str">
        <f ca="1">OFFSET(L!$C$1,MATCH("Declaration"&amp;ADDRESS(ROW(),COLUMN(),4),L!$A:$A,0)-1,SL,,)</f>
        <v>Address:</v>
      </c>
      <c r="C18" s="67"/>
      <c r="D18" s="393" t="s">
        <v>20056</v>
      </c>
      <c r="E18" s="394"/>
      <c r="F18" s="394"/>
      <c r="G18" s="394"/>
      <c r="H18" s="394"/>
      <c r="I18" s="394"/>
      <c r="J18" s="110"/>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393" t="s">
        <v>20057</v>
      </c>
      <c r="E19" s="394"/>
      <c r="F19" s="394"/>
      <c r="G19" s="394"/>
      <c r="H19" s="394"/>
      <c r="I19" s="394"/>
      <c r="J19" s="110"/>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398" t="s">
        <v>20058</v>
      </c>
      <c r="E20" s="399"/>
      <c r="F20" s="399"/>
      <c r="G20" s="399"/>
      <c r="H20" s="399"/>
      <c r="I20" s="399"/>
      <c r="J20" s="400"/>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393" t="s">
        <v>20059</v>
      </c>
      <c r="E21" s="394"/>
      <c r="F21" s="394"/>
      <c r="G21" s="394"/>
      <c r="H21" s="394"/>
      <c r="I21" s="394"/>
      <c r="J21" s="110"/>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30">
      <c r="A22" s="31"/>
      <c r="B22" s="33" t="str">
        <f ca="1">OFFSET(L!$C$1,MATCH("Declaration"&amp;ADDRESS(ROW(),COLUMN(),4),L!$A:$A,0)-1,SL,,)</f>
        <v>Authorizer (*):</v>
      </c>
      <c r="C22" s="67"/>
      <c r="D22" s="393" t="s">
        <v>20060</v>
      </c>
      <c r="E22" s="394"/>
      <c r="F22" s="394"/>
      <c r="G22" s="394"/>
      <c r="H22" s="394"/>
      <c r="I22" s="394"/>
      <c r="J22" s="110"/>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393" t="s">
        <v>20061</v>
      </c>
      <c r="E23" s="394"/>
      <c r="F23" s="394"/>
      <c r="G23" s="394"/>
      <c r="H23" s="394"/>
      <c r="I23" s="394"/>
      <c r="J23" s="110"/>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398" t="s">
        <v>20062</v>
      </c>
      <c r="E24" s="399"/>
      <c r="F24" s="399"/>
      <c r="G24" s="399"/>
      <c r="H24" s="399"/>
      <c r="I24" s="399"/>
      <c r="J24" s="400"/>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393" t="s">
        <v>20063</v>
      </c>
      <c r="E25" s="394"/>
      <c r="F25" s="394"/>
      <c r="G25" s="394"/>
      <c r="H25" s="394"/>
      <c r="I25" s="394"/>
      <c r="J25" s="110"/>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46">
        <v>45932</v>
      </c>
      <c r="E26" s="44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44"/>
      <c r="E27" s="444"/>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45" t="str">
        <f ca="1">OFFSET(L!$C$1,MATCH("Declaration"&amp;ADDRESS(ROW(),COLUMN(),4),L!$A:$A,0)-1,SL,,)</f>
        <v>Answer the following questions 1 - 7 based on the declaration scope indicated above</v>
      </c>
      <c r="C28" s="445"/>
      <c r="D28" s="445"/>
      <c r="E28" s="445"/>
      <c r="F28" s="445"/>
      <c r="G28" s="445"/>
      <c r="H28" s="445"/>
      <c r="I28" s="445"/>
      <c r="J28" s="445"/>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29" t="str">
        <f ca="1">OFFSET(L!$C$1,MATCH("Declaration"&amp;ADDRESS(ROW(),COLUMN(),4),L!$A:$A,0)-1,SL,,)</f>
        <v>Answer</v>
      </c>
      <c r="E29" s="429"/>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39.6">
      <c r="A30" s="34"/>
      <c r="B30" s="299" t="str">
        <f t="shared" ref="B30:B39" si="32">IF(COUNTBLANK(AA12),"",AA12&amp;"(*)")</f>
        <v>Cobalt(*)</v>
      </c>
      <c r="C30" s="28"/>
      <c r="D30" s="420" t="s">
        <v>25</v>
      </c>
      <c r="E30" s="421"/>
      <c r="F30" s="8"/>
      <c r="G30" s="387" t="s">
        <v>20065</v>
      </c>
      <c r="H30" s="388"/>
      <c r="I30" s="388"/>
      <c r="J30" s="389"/>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39.6">
      <c r="A31" s="34"/>
      <c r="B31" s="299" t="str">
        <f t="shared" si="32"/>
        <v>Copper(*)</v>
      </c>
      <c r="C31" s="28"/>
      <c r="D31" s="420" t="s">
        <v>25</v>
      </c>
      <c r="E31" s="421"/>
      <c r="F31" s="8"/>
      <c r="G31" s="387" t="s">
        <v>20065</v>
      </c>
      <c r="H31" s="388"/>
      <c r="I31" s="388"/>
      <c r="J31" s="389"/>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Graphite(*)</v>
      </c>
      <c r="C32" s="28"/>
      <c r="D32" s="420" t="s">
        <v>22</v>
      </c>
      <c r="E32" s="421"/>
      <c r="F32" s="8"/>
      <c r="G32" s="422"/>
      <c r="H32" s="423"/>
      <c r="I32" s="423"/>
      <c r="J32" s="424"/>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20" t="s">
        <v>22</v>
      </c>
      <c r="E33" s="421"/>
      <c r="F33" s="8"/>
      <c r="G33" s="422"/>
      <c r="H33" s="423"/>
      <c r="I33" s="423"/>
      <c r="J33" s="424"/>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39.6">
      <c r="A34" s="34"/>
      <c r="B34" s="299" t="str">
        <f t="shared" si="32"/>
        <v>Mica(*)</v>
      </c>
      <c r="C34" s="28"/>
      <c r="D34" s="420" t="s">
        <v>25</v>
      </c>
      <c r="E34" s="421"/>
      <c r="F34" s="8"/>
      <c r="G34" s="387" t="s">
        <v>20065</v>
      </c>
      <c r="H34" s="388"/>
      <c r="I34" s="388"/>
      <c r="J34" s="389"/>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2">
      <c r="A35" s="34"/>
      <c r="B35" s="299" t="str">
        <f t="shared" si="32"/>
        <v>Nickel(*)</v>
      </c>
      <c r="C35" s="28"/>
      <c r="D35" s="420" t="s">
        <v>25</v>
      </c>
      <c r="E35" s="421"/>
      <c r="F35" s="8"/>
      <c r="G35" s="422" t="s">
        <v>20065</v>
      </c>
      <c r="H35" s="423"/>
      <c r="I35" s="423"/>
      <c r="J35" s="424"/>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9" t="str">
        <f t="shared" si="32"/>
        <v/>
      </c>
      <c r="C36" s="28"/>
      <c r="D36" s="420"/>
      <c r="E36" s="421"/>
      <c r="F36" s="8"/>
      <c r="G36" s="422"/>
      <c r="H36" s="423"/>
      <c r="I36" s="423"/>
      <c r="J36" s="424"/>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20"/>
      <c r="E37" s="421"/>
      <c r="F37" s="8"/>
      <c r="G37" s="422"/>
      <c r="H37" s="423"/>
      <c r="I37" s="423"/>
      <c r="J37" s="424"/>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20"/>
      <c r="E38" s="421"/>
      <c r="F38" s="8"/>
      <c r="G38" s="422"/>
      <c r="H38" s="423"/>
      <c r="I38" s="423"/>
      <c r="J38" s="424"/>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20"/>
      <c r="E39" s="421"/>
      <c r="F39" s="8"/>
      <c r="G39" s="422"/>
      <c r="H39" s="423"/>
      <c r="I39" s="423"/>
      <c r="J39" s="424"/>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33" t="str">
        <f ca="1">D29</f>
        <v>Answer</v>
      </c>
      <c r="E41" s="433"/>
      <c r="F41" s="14"/>
      <c r="G41" s="37" t="str">
        <f ca="1">G29</f>
        <v>Comments</v>
      </c>
      <c r="H41" s="37"/>
      <c r="I41" s="37"/>
      <c r="J41" s="73"/>
      <c r="K41" s="29"/>
      <c r="L41" s="99" t="s">
        <v>15</v>
      </c>
      <c r="P41" s="301">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20" t="s">
        <v>25</v>
      </c>
      <c r="E42" s="421"/>
      <c r="F42" s="8"/>
      <c r="G42" s="422"/>
      <c r="H42" s="423"/>
      <c r="I42" s="423"/>
      <c r="J42" s="424"/>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20" t="s">
        <v>25</v>
      </c>
      <c r="E43" s="421"/>
      <c r="F43" s="8"/>
      <c r="G43" s="422"/>
      <c r="H43" s="423"/>
      <c r="I43" s="423"/>
      <c r="J43" s="424"/>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Graphite</v>
      </c>
      <c r="C44" s="28"/>
      <c r="D44" s="420"/>
      <c r="E44" s="421"/>
      <c r="F44" s="8"/>
      <c r="G44" s="422"/>
      <c r="H44" s="423"/>
      <c r="I44" s="423"/>
      <c r="J44" s="424"/>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Mica</v>
      </c>
      <c r="W44" s="303" t="str">
        <f t="shared" ref="W44" si="59">IF(V44="",V44,IF(V43="",V43,IF(V43&gt;V44,V43,V44)))</f>
        <v>Mica</v>
      </c>
      <c r="X44" s="303" t="str">
        <f t="shared" ref="X44" si="60">IF(W45="",W44,IF(W44="",W45,IF(W44&gt;W45,W45,W44)))</f>
        <v>Mica</v>
      </c>
      <c r="Y44" s="303" t="str">
        <f t="shared" ref="Y44" si="61">IF(X44="",X44,IF(X43="",X43,IF(X43&gt;X44,X43,X44)))</f>
        <v>Mica</v>
      </c>
      <c r="Z44" s="303" t="str">
        <f t="shared" ref="Z44" si="62">IF(Y45="",Y44,IF(Y44="",Y45,IF(Y44&gt;Y45,Y45,Y44)))</f>
        <v>Mica</v>
      </c>
      <c r="AA44" s="303" t="str">
        <f t="shared" ref="AA44" si="63">IF(Z44="",Z44,IF(Z43="",Z43,IF(Z43&gt;Z44,Z43,Z44)))</f>
        <v>Mica</v>
      </c>
      <c r="AB44" s="303" t="str">
        <f t="shared" ref="AB44" si="64">IF(AA45="",AA44,IF(AA44="",AA45,IF(AA44&gt;AA45,AA45,AA44)))</f>
        <v>Mica</v>
      </c>
      <c r="AC44" s="303" t="str">
        <f t="shared" ref="AC44" si="65">IF(AB44="",AB44,IF(AB43="",AB43,IF(AB43&gt;AB44,AB43,AB44)))</f>
        <v>Mica</v>
      </c>
      <c r="AD44" s="2"/>
      <c r="AE44" s="2"/>
      <c r="AF44" s="2"/>
      <c r="AG44" s="2"/>
    </row>
    <row r="45" spans="1:33" ht="22.2">
      <c r="A45" s="34"/>
      <c r="B45" s="300" t="str">
        <f t="shared" si="36"/>
        <v>Lithium</v>
      </c>
      <c r="C45" s="28"/>
      <c r="D45" s="420"/>
      <c r="E45" s="421"/>
      <c r="F45" s="8"/>
      <c r="G45" s="422"/>
      <c r="H45" s="423"/>
      <c r="I45" s="423"/>
      <c r="J45" s="424"/>
      <c r="K45" s="29"/>
      <c r="L45" s="105"/>
      <c r="P45" s="301" t="str">
        <f t="shared" si="45"/>
        <v/>
      </c>
      <c r="R45" s="2"/>
      <c r="S45" s="302" t="str">
        <f t="shared" si="46"/>
        <v/>
      </c>
      <c r="T45" s="303" t="str">
        <f t="shared" ref="T45" si="66">IF(S45="",S45,IF(S44="",S44,IF(S44&gt;S45,S44,S45)))</f>
        <v/>
      </c>
      <c r="U45" s="303" t="str">
        <f t="shared" ref="U45" si="67">IF(T46="",T45,IF(T45="",T46,IF(T45&gt;T46,T46,T45)))</f>
        <v>Mica</v>
      </c>
      <c r="V45" s="303" t="str">
        <f t="shared" ref="V45" si="68">IF(U45="",U45,IF(U44="",U44,IF(U44&gt;U45,U44,U45)))</f>
        <v/>
      </c>
      <c r="W45" s="303" t="str">
        <f t="shared" ref="W45" si="69">IF(V46="",V45,IF(V45="",V46,IF(V45&gt;V46,V46,V45)))</f>
        <v>Nickel</v>
      </c>
      <c r="X45" s="303" t="str">
        <f t="shared" ref="X45" si="70">IF(W45="",W45,IF(W44="",W44,IF(W44&gt;W45,W44,W45)))</f>
        <v>Nickel</v>
      </c>
      <c r="Y45" s="303" t="str">
        <f t="shared" ref="Y45" si="71">IF(X46="",X45,IF(X45="",X46,IF(X45&gt;X46,X46,X45)))</f>
        <v>Nickel</v>
      </c>
      <c r="Z45" s="303" t="str">
        <f t="shared" ref="Z45" si="72">IF(Y45="",Y45,IF(Y44="",Y44,IF(Y44&gt;Y45,Y44,Y45)))</f>
        <v>Nickel</v>
      </c>
      <c r="AA45" s="303" t="str">
        <f t="shared" ref="AA45" si="73">IF(Z46="",Z45,IF(Z45="",Z46,IF(Z45&gt;Z46,Z46,Z45)))</f>
        <v>Nickel</v>
      </c>
      <c r="AB45" s="303" t="str">
        <f t="shared" ref="AB45" si="74">IF(AA45="",AA45,IF(AA44="",AA44,IF(AA44&gt;AA45,AA44,AA45)))</f>
        <v>Nickel</v>
      </c>
      <c r="AC45" s="303" t="str">
        <f t="shared" ref="AC45" si="75">IF(AB46="",AB45,IF(AB45="",AB46,IF(AB45&gt;AB46,AB46,AB45)))</f>
        <v>Nickel</v>
      </c>
      <c r="AD45" s="2"/>
      <c r="AE45" s="2"/>
      <c r="AF45" s="2"/>
      <c r="AG45" s="2"/>
    </row>
    <row r="46" spans="1:33" ht="22.2">
      <c r="A46" s="34"/>
      <c r="B46" s="300" t="str">
        <f t="shared" si="36"/>
        <v>Mica(*)</v>
      </c>
      <c r="C46" s="28"/>
      <c r="D46" s="420" t="s">
        <v>25</v>
      </c>
      <c r="E46" s="421"/>
      <c r="F46" s="8"/>
      <c r="G46" s="422"/>
      <c r="H46" s="423"/>
      <c r="I46" s="423"/>
      <c r="J46" s="424"/>
      <c r="K46" s="29"/>
      <c r="L46" s="105"/>
      <c r="P46" s="301" t="str">
        <f t="shared" si="45"/>
        <v>(*)</v>
      </c>
      <c r="R46" s="2"/>
      <c r="S46" s="302" t="str">
        <f t="shared" si="46"/>
        <v>Mica</v>
      </c>
      <c r="T46" s="303" t="str">
        <f t="shared" ref="T46" si="76">IF(S47="",S46,IF(S46="",S47,IF(S46&gt;S47,S47,S46)))</f>
        <v>Mica</v>
      </c>
      <c r="U46" s="303" t="str">
        <f t="shared" ref="U46" si="77">IF(T46="",T46,IF(T45="",T45,IF(T45&gt;T46,T45,T46)))</f>
        <v/>
      </c>
      <c r="V46" s="303" t="str">
        <f t="shared" ref="V46" si="78">IF(U47="",U46,IF(U46="",U47,IF(U46&gt;U47,U47,U46)))</f>
        <v>Nickel</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20" t="s">
        <v>25</v>
      </c>
      <c r="E47" s="421"/>
      <c r="F47" s="8"/>
      <c r="G47" s="422"/>
      <c r="H47" s="423"/>
      <c r="I47" s="423"/>
      <c r="J47" s="424"/>
      <c r="K47" s="29"/>
      <c r="L47" s="105"/>
      <c r="P47" s="301" t="str">
        <f t="shared" si="45"/>
        <v>(*)</v>
      </c>
      <c r="R47" s="2"/>
      <c r="S47" s="302" t="str">
        <f t="shared" si="46"/>
        <v>Nickel</v>
      </c>
      <c r="T47" s="303" t="str">
        <f t="shared" ref="T47" si="86">IF(S47="",S47,IF(S46="",S46,IF(S46&gt;S47,S46,S47)))</f>
        <v>Nickel</v>
      </c>
      <c r="U47" s="303" t="str">
        <f t="shared" ref="U47" si="87">IF(T48="",T47,IF(T47="",T48,IF(T47&gt;T48,T48,T47)))</f>
        <v>Nickel</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20"/>
      <c r="E48" s="421"/>
      <c r="F48" s="8"/>
      <c r="G48" s="422"/>
      <c r="H48" s="423"/>
      <c r="I48" s="423"/>
      <c r="J48" s="424"/>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20"/>
      <c r="E49" s="421"/>
      <c r="F49" s="8"/>
      <c r="G49" s="422"/>
      <c r="H49" s="423"/>
      <c r="I49" s="423"/>
      <c r="J49" s="424"/>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20"/>
      <c r="E50" s="421"/>
      <c r="F50" s="8"/>
      <c r="G50" s="422"/>
      <c r="H50" s="423"/>
      <c r="I50" s="423"/>
      <c r="J50" s="424"/>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20"/>
      <c r="E51" s="421"/>
      <c r="F51" s="8"/>
      <c r="G51" s="422"/>
      <c r="H51" s="423"/>
      <c r="I51" s="423"/>
      <c r="J51" s="424"/>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3" t="str">
        <f ca="1">D29</f>
        <v>Answer</v>
      </c>
      <c r="E53" s="433"/>
      <c r="F53" s="14"/>
      <c r="G53" s="37" t="str">
        <f ca="1">G29</f>
        <v>Comments</v>
      </c>
      <c r="H53" s="437"/>
      <c r="I53" s="437"/>
      <c r="J53" s="437"/>
      <c r="K53" s="29"/>
      <c r="L53" s="99"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20" t="s">
        <v>26</v>
      </c>
      <c r="E54" s="421"/>
      <c r="F54" s="40"/>
      <c r="G54" s="422"/>
      <c r="H54" s="423"/>
      <c r="I54" s="423"/>
      <c r="J54" s="424"/>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20" t="s">
        <v>26</v>
      </c>
      <c r="E55" s="421"/>
      <c r="F55" s="40"/>
      <c r="G55" s="422"/>
      <c r="H55" s="423"/>
      <c r="I55" s="423"/>
      <c r="J55" s="424"/>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300" t="str">
        <f>IF(ISERROR(AA$14),"",AA$14&amp;"")&amp;P$56</f>
        <v>Graphite</v>
      </c>
      <c r="C56" s="6"/>
      <c r="D56" s="420"/>
      <c r="E56" s="421"/>
      <c r="F56" s="40"/>
      <c r="G56" s="422"/>
      <c r="H56" s="423"/>
      <c r="I56" s="423"/>
      <c r="J56" s="424"/>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Lithium</v>
      </c>
      <c r="C57" s="6"/>
      <c r="D57" s="420"/>
      <c r="E57" s="421"/>
      <c r="F57" s="40"/>
      <c r="G57" s="422"/>
      <c r="H57" s="423"/>
      <c r="I57" s="423"/>
      <c r="J57" s="424"/>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20" t="s">
        <v>26</v>
      </c>
      <c r="E58" s="421"/>
      <c r="F58" s="40"/>
      <c r="G58" s="422"/>
      <c r="H58" s="423"/>
      <c r="I58" s="423"/>
      <c r="J58" s="424"/>
      <c r="K58" s="29"/>
      <c r="L58" s="105"/>
      <c r="P58" s="301" t="str">
        <f t="shared" si="135"/>
        <v>(*)</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20" t="s">
        <v>26</v>
      </c>
      <c r="E59" s="421"/>
      <c r="F59" s="40"/>
      <c r="G59" s="422"/>
      <c r="H59" s="423"/>
      <c r="I59" s="423"/>
      <c r="J59" s="424"/>
      <c r="K59" s="29"/>
      <c r="L59" s="105"/>
      <c r="P59" s="301" t="str">
        <f t="shared" si="135"/>
        <v>(*)</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20"/>
      <c r="E60" s="421"/>
      <c r="F60" s="40"/>
      <c r="G60" s="422"/>
      <c r="H60" s="423"/>
      <c r="I60" s="423"/>
      <c r="J60" s="424"/>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20"/>
      <c r="E61" s="421"/>
      <c r="F61" s="40"/>
      <c r="G61" s="422"/>
      <c r="H61" s="423"/>
      <c r="I61" s="423"/>
      <c r="J61" s="424"/>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20"/>
      <c r="E62" s="421"/>
      <c r="F62" s="40"/>
      <c r="G62" s="422"/>
      <c r="H62" s="423"/>
      <c r="I62" s="423"/>
      <c r="J62" s="424"/>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20"/>
      <c r="E63" s="421"/>
      <c r="F63" s="40"/>
      <c r="G63" s="422"/>
      <c r="H63" s="423"/>
      <c r="I63" s="423"/>
      <c r="J63" s="424"/>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33" t="str">
        <f ca="1">D29</f>
        <v>Answer</v>
      </c>
      <c r="E65" s="433"/>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20" t="s">
        <v>26</v>
      </c>
      <c r="E66" s="421"/>
      <c r="F66" s="40"/>
      <c r="G66" s="422"/>
      <c r="H66" s="423"/>
      <c r="I66" s="423"/>
      <c r="J66" s="424"/>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20" t="s">
        <v>26</v>
      </c>
      <c r="E67" s="421"/>
      <c r="F67" s="40"/>
      <c r="G67" s="422"/>
      <c r="H67" s="423"/>
      <c r="I67" s="423"/>
      <c r="J67" s="424"/>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Graphite</v>
      </c>
      <c r="C68" s="6"/>
      <c r="D68" s="420"/>
      <c r="E68" s="421"/>
      <c r="F68" s="40"/>
      <c r="G68" s="422"/>
      <c r="H68" s="423"/>
      <c r="I68" s="423"/>
      <c r="J68" s="424"/>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Lithium</v>
      </c>
      <c r="C69" s="6"/>
      <c r="D69" s="420"/>
      <c r="E69" s="421"/>
      <c r="F69" s="40"/>
      <c r="G69" s="422"/>
      <c r="H69" s="423"/>
      <c r="I69" s="423"/>
      <c r="J69" s="424"/>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Mica(*)</v>
      </c>
      <c r="C70" s="6"/>
      <c r="D70" s="420" t="s">
        <v>26</v>
      </c>
      <c r="E70" s="421"/>
      <c r="F70" s="40"/>
      <c r="G70" s="422"/>
      <c r="H70" s="423"/>
      <c r="I70" s="423"/>
      <c r="J70" s="424"/>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Nickel(*)</v>
      </c>
      <c r="C71" s="6"/>
      <c r="D71" s="420" t="s">
        <v>26</v>
      </c>
      <c r="E71" s="421"/>
      <c r="F71" s="40"/>
      <c r="G71" s="422"/>
      <c r="H71" s="423"/>
      <c r="I71" s="423"/>
      <c r="J71" s="424"/>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20"/>
      <c r="E72" s="421"/>
      <c r="F72" s="40"/>
      <c r="G72" s="422"/>
      <c r="H72" s="423"/>
      <c r="I72" s="423"/>
      <c r="J72" s="424"/>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20"/>
      <c r="E73" s="421"/>
      <c r="F73" s="40"/>
      <c r="G73" s="422"/>
      <c r="H73" s="423"/>
      <c r="I73" s="423"/>
      <c r="J73" s="424"/>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20"/>
      <c r="E74" s="421"/>
      <c r="F74" s="40"/>
      <c r="G74" s="422"/>
      <c r="H74" s="423"/>
      <c r="I74" s="423"/>
      <c r="J74" s="424"/>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20"/>
      <c r="E75" s="421"/>
      <c r="F75" s="40"/>
      <c r="G75" s="422"/>
      <c r="H75" s="423"/>
      <c r="I75" s="423"/>
      <c r="J75" s="424"/>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3" t="str">
        <f ca="1">D29</f>
        <v>Answer</v>
      </c>
      <c r="E77" s="433"/>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20" t="s">
        <v>30</v>
      </c>
      <c r="E78" s="421"/>
      <c r="F78" s="40"/>
      <c r="G78" s="422"/>
      <c r="H78" s="423"/>
      <c r="I78" s="423"/>
      <c r="J78" s="424"/>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20" t="s">
        <v>30</v>
      </c>
      <c r="E79" s="421"/>
      <c r="F79" s="40"/>
      <c r="G79" s="422"/>
      <c r="H79" s="423"/>
      <c r="I79" s="423"/>
      <c r="J79" s="424"/>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Graphite</v>
      </c>
      <c r="C80" s="28"/>
      <c r="D80" s="420"/>
      <c r="E80" s="421"/>
      <c r="F80" s="40"/>
      <c r="G80" s="422"/>
      <c r="H80" s="423"/>
      <c r="I80" s="423"/>
      <c r="J80" s="424"/>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20"/>
      <c r="E81" s="421"/>
      <c r="F81" s="40"/>
      <c r="G81" s="422"/>
      <c r="H81" s="423"/>
      <c r="I81" s="423"/>
      <c r="J81" s="424"/>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20" t="s">
        <v>30</v>
      </c>
      <c r="E82" s="421"/>
      <c r="F82" s="40"/>
      <c r="G82" s="422"/>
      <c r="H82" s="423"/>
      <c r="I82" s="423"/>
      <c r="J82" s="424"/>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20" t="s">
        <v>30</v>
      </c>
      <c r="E83" s="421"/>
      <c r="F83" s="40"/>
      <c r="G83" s="422"/>
      <c r="H83" s="423"/>
      <c r="I83" s="423"/>
      <c r="J83" s="424"/>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20"/>
      <c r="E84" s="421"/>
      <c r="F84" s="40"/>
      <c r="G84" s="422"/>
      <c r="H84" s="423"/>
      <c r="I84" s="423"/>
      <c r="J84" s="424"/>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20"/>
      <c r="E85" s="421"/>
      <c r="F85" s="40"/>
      <c r="G85" s="422"/>
      <c r="H85" s="423"/>
      <c r="I85" s="423"/>
      <c r="J85" s="424"/>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20"/>
      <c r="E86" s="421"/>
      <c r="F86" s="40"/>
      <c r="G86" s="422"/>
      <c r="H86" s="423"/>
      <c r="I86" s="423"/>
      <c r="J86" s="424"/>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20"/>
      <c r="E87" s="421"/>
      <c r="F87" s="40"/>
      <c r="G87" s="422"/>
      <c r="H87" s="423"/>
      <c r="I87" s="423"/>
      <c r="J87" s="424"/>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33" t="str">
        <f ca="1">D29</f>
        <v>Answer</v>
      </c>
      <c r="E89" s="433"/>
      <c r="F89" s="14"/>
      <c r="G89" s="37" t="str">
        <f ca="1">G29</f>
        <v>Comments</v>
      </c>
      <c r="H89" s="434"/>
      <c r="I89" s="434"/>
      <c r="J89" s="434"/>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20" t="s">
        <v>22</v>
      </c>
      <c r="E90" s="421"/>
      <c r="F90" s="40"/>
      <c r="G90" s="387" t="s">
        <v>20066</v>
      </c>
      <c r="H90" s="388"/>
      <c r="I90" s="388"/>
      <c r="J90" s="389"/>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20" t="s">
        <v>22</v>
      </c>
      <c r="E91" s="421"/>
      <c r="F91" s="40"/>
      <c r="G91" s="387" t="s">
        <v>20066</v>
      </c>
      <c r="H91" s="388"/>
      <c r="I91" s="388"/>
      <c r="J91" s="389"/>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20"/>
      <c r="E92" s="421"/>
      <c r="F92" s="40"/>
      <c r="G92" s="422"/>
      <c r="H92" s="423"/>
      <c r="I92" s="423"/>
      <c r="J92" s="424"/>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20"/>
      <c r="E93" s="421"/>
      <c r="F93" s="40"/>
      <c r="G93" s="422"/>
      <c r="H93" s="423"/>
      <c r="I93" s="423"/>
      <c r="J93" s="424"/>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20" t="s">
        <v>22</v>
      </c>
      <c r="E94" s="421"/>
      <c r="F94" s="40"/>
      <c r="G94" s="387" t="s">
        <v>20066</v>
      </c>
      <c r="H94" s="388"/>
      <c r="I94" s="388"/>
      <c r="J94" s="389"/>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20" t="s">
        <v>22</v>
      </c>
      <c r="E95" s="421"/>
      <c r="F95" s="40"/>
      <c r="G95" s="387" t="s">
        <v>20066</v>
      </c>
      <c r="H95" s="388"/>
      <c r="I95" s="388"/>
      <c r="J95" s="389"/>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20"/>
      <c r="E96" s="421"/>
      <c r="F96" s="40"/>
      <c r="G96" s="422"/>
      <c r="H96" s="423"/>
      <c r="I96" s="423"/>
      <c r="J96" s="424"/>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20"/>
      <c r="E97" s="421"/>
      <c r="F97" s="40"/>
      <c r="G97" s="422"/>
      <c r="H97" s="423"/>
      <c r="I97" s="423"/>
      <c r="J97" s="424"/>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20"/>
      <c r="E98" s="421"/>
      <c r="F98" s="40"/>
      <c r="G98" s="422"/>
      <c r="H98" s="423"/>
      <c r="I98" s="423"/>
      <c r="J98" s="424"/>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20"/>
      <c r="E99" s="421"/>
      <c r="F99" s="40"/>
      <c r="G99" s="422"/>
      <c r="H99" s="423"/>
      <c r="I99" s="423"/>
      <c r="J99" s="424"/>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3" t="str">
        <f ca="1">D29</f>
        <v>Answer</v>
      </c>
      <c r="E101" s="433"/>
      <c r="F101" s="14"/>
      <c r="G101" s="37" t="str">
        <f ca="1">G29</f>
        <v>Comments</v>
      </c>
      <c r="H101" s="434" t="str">
        <f>IF(Q115="(*)","Click here to enter smelter names","")</f>
        <v/>
      </c>
      <c r="I101" s="434"/>
      <c r="J101" s="434"/>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6.4">
      <c r="A102" s="34"/>
      <c r="B102" s="300" t="str">
        <f>IF(ISERROR(AA$12),"",AA$12&amp;"")&amp;P$54</f>
        <v>Cobalt(*)</v>
      </c>
      <c r="C102" s="28"/>
      <c r="D102" s="420" t="s">
        <v>25</v>
      </c>
      <c r="E102" s="421"/>
      <c r="F102" s="41"/>
      <c r="G102" s="387" t="s">
        <v>20067</v>
      </c>
      <c r="H102" s="388"/>
      <c r="I102" s="388"/>
      <c r="J102" s="389"/>
      <c r="K102" s="29"/>
      <c r="L102" s="105"/>
      <c r="P102" s="2"/>
      <c r="Q102" s="2"/>
      <c r="R102" s="2"/>
      <c r="S102" s="2"/>
      <c r="T102" s="2"/>
      <c r="U102" s="2"/>
      <c r="V102" s="2"/>
      <c r="W102" s="2"/>
      <c r="X102" s="2"/>
      <c r="Y102" s="2">
        <v>62</v>
      </c>
      <c r="Z102" s="2"/>
      <c r="AA102" s="2"/>
      <c r="AB102" s="2"/>
      <c r="AC102" s="2"/>
      <c r="AD102" s="2"/>
      <c r="AE102" s="2"/>
      <c r="AF102" s="2"/>
      <c r="AG102" s="2"/>
    </row>
    <row r="103" spans="1:33" ht="26.4">
      <c r="A103" s="34"/>
      <c r="B103" s="300" t="str">
        <f>IF(ISERROR(AA$13),"",AA$13&amp;"")&amp;P$55</f>
        <v>Copper(*)</v>
      </c>
      <c r="C103" s="28"/>
      <c r="D103" s="420" t="s">
        <v>25</v>
      </c>
      <c r="E103" s="421"/>
      <c r="F103" s="41"/>
      <c r="G103" s="387" t="s">
        <v>20067</v>
      </c>
      <c r="H103" s="388"/>
      <c r="I103" s="388"/>
      <c r="J103" s="389"/>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20"/>
      <c r="E104" s="421"/>
      <c r="F104" s="41"/>
      <c r="G104" s="422"/>
      <c r="H104" s="423"/>
      <c r="I104" s="423"/>
      <c r="J104" s="424"/>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20"/>
      <c r="E105" s="421"/>
      <c r="F105" s="41"/>
      <c r="G105" s="422"/>
      <c r="H105" s="423"/>
      <c r="I105" s="423"/>
      <c r="J105" s="424"/>
      <c r="K105" s="29"/>
      <c r="L105" s="105"/>
      <c r="P105" s="2"/>
      <c r="Q105" s="2"/>
      <c r="R105" s="2"/>
      <c r="S105" s="2"/>
      <c r="T105" s="2"/>
      <c r="U105" s="2"/>
      <c r="V105" s="2"/>
      <c r="W105" s="2"/>
      <c r="X105" s="2"/>
      <c r="Y105" s="2">
        <v>64</v>
      </c>
      <c r="Z105" s="2"/>
      <c r="AA105" s="2"/>
      <c r="AB105" s="2"/>
      <c r="AC105" s="2"/>
      <c r="AD105" s="2"/>
      <c r="AE105" s="2"/>
      <c r="AF105" s="2"/>
      <c r="AG105" s="2"/>
    </row>
    <row r="106" spans="1:33" ht="26.4">
      <c r="A106" s="34"/>
      <c r="B106" s="300" t="str">
        <f>IF(ISERROR(AA$16),"",AA$16&amp;"")&amp;P$58</f>
        <v>Mica(*)</v>
      </c>
      <c r="C106" s="28"/>
      <c r="D106" s="420" t="s">
        <v>25</v>
      </c>
      <c r="E106" s="421"/>
      <c r="F106" s="41"/>
      <c r="G106" s="387" t="s">
        <v>20067</v>
      </c>
      <c r="H106" s="388"/>
      <c r="I106" s="388"/>
      <c r="J106" s="389"/>
      <c r="K106" s="29"/>
      <c r="L106" s="105"/>
      <c r="P106" s="2"/>
      <c r="Q106" s="2"/>
      <c r="R106" s="2"/>
      <c r="S106" s="2"/>
      <c r="T106" s="2"/>
      <c r="U106" s="2"/>
      <c r="V106" s="2"/>
      <c r="W106" s="2"/>
      <c r="X106" s="2"/>
      <c r="Y106" s="2">
        <v>64</v>
      </c>
      <c r="Z106" s="2"/>
      <c r="AA106" s="2"/>
      <c r="AB106" s="2"/>
      <c r="AC106" s="2"/>
      <c r="AD106" s="2"/>
      <c r="AE106" s="2"/>
      <c r="AF106" s="2"/>
      <c r="AG106" s="2"/>
    </row>
    <row r="107" spans="1:33" ht="26.4">
      <c r="A107" s="34"/>
      <c r="B107" s="300" t="str">
        <f>IF(ISERROR(AA$17),"",AA$17&amp;"")&amp;P$59</f>
        <v>Nickel(*)</v>
      </c>
      <c r="C107" s="28"/>
      <c r="D107" s="420" t="s">
        <v>25</v>
      </c>
      <c r="E107" s="421"/>
      <c r="F107" s="41"/>
      <c r="G107" s="387" t="s">
        <v>20067</v>
      </c>
      <c r="H107" s="388"/>
      <c r="I107" s="388"/>
      <c r="J107" s="389"/>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20"/>
      <c r="E108" s="421"/>
      <c r="F108" s="41"/>
      <c r="G108" s="422"/>
      <c r="H108" s="423"/>
      <c r="I108" s="423"/>
      <c r="J108" s="424"/>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20"/>
      <c r="E109" s="421"/>
      <c r="F109" s="41"/>
      <c r="G109" s="422"/>
      <c r="H109" s="423"/>
      <c r="I109" s="423"/>
      <c r="J109" s="424"/>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20"/>
      <c r="E110" s="421"/>
      <c r="F110" s="41"/>
      <c r="G110" s="422"/>
      <c r="H110" s="423"/>
      <c r="I110" s="423"/>
      <c r="J110" s="424"/>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20"/>
      <c r="E111" s="421"/>
      <c r="F111" s="43"/>
      <c r="G111" s="422"/>
      <c r="H111" s="423"/>
      <c r="I111" s="423"/>
      <c r="J111" s="424"/>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32" t="str">
        <f ca="1">OFFSET(L!$C$1,MATCH("Declaration"&amp;ADDRESS(ROW(),COLUMN(),4),L!$A:$A,0)-1,SL,,)</f>
        <v>Answer the Following Questions at a Company Level</v>
      </c>
      <c r="C113" s="432"/>
      <c r="D113" s="432"/>
      <c r="E113" s="432"/>
      <c r="F113" s="432"/>
      <c r="G113" s="432"/>
      <c r="H113" s="432"/>
      <c r="I113" s="432"/>
      <c r="J113" s="432"/>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29" t="str">
        <f ca="1">D29</f>
        <v>Answer</v>
      </c>
      <c r="E114" s="429"/>
      <c r="F114" s="46"/>
      <c r="G114" s="429" t="str">
        <f ca="1">G29</f>
        <v>Comments</v>
      </c>
      <c r="H114" s="429" t="e">
        <f>HLOOKUP(SL,LT,$O114,0)</f>
        <v>#NAME?</v>
      </c>
      <c r="I114" s="429"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20" t="s">
        <v>25</v>
      </c>
      <c r="E115" s="421"/>
      <c r="F115" s="50"/>
      <c r="G115" s="422"/>
      <c r="H115" s="423"/>
      <c r="I115" s="423"/>
      <c r="J115" s="424"/>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27"/>
      <c r="H116" s="427"/>
      <c r="I116" s="427"/>
      <c r="J116" s="427"/>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20" t="s">
        <v>25</v>
      </c>
      <c r="E117" s="421"/>
      <c r="F117" s="50"/>
      <c r="G117" s="401" t="s">
        <v>20068</v>
      </c>
      <c r="H117" s="402"/>
      <c r="I117" s="402"/>
      <c r="J117" s="403"/>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30"/>
      <c r="E119" s="430"/>
      <c r="F119" s="233"/>
      <c r="G119" s="431"/>
      <c r="H119" s="431"/>
      <c r="I119" s="431"/>
      <c r="J119" s="431"/>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20" t="s">
        <v>22</v>
      </c>
      <c r="E120" s="421"/>
      <c r="F120" s="8"/>
      <c r="G120" s="422"/>
      <c r="H120" s="423"/>
      <c r="I120" s="423"/>
      <c r="J120" s="424"/>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20" t="s">
        <v>22</v>
      </c>
      <c r="E121" s="421"/>
      <c r="F121" s="8"/>
      <c r="G121" s="422"/>
      <c r="H121" s="423"/>
      <c r="I121" s="423"/>
      <c r="J121" s="424"/>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20"/>
      <c r="E122" s="421"/>
      <c r="F122" s="8"/>
      <c r="G122" s="422"/>
      <c r="H122" s="423"/>
      <c r="I122" s="423"/>
      <c r="J122" s="424"/>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20"/>
      <c r="E123" s="421"/>
      <c r="F123" s="8"/>
      <c r="G123" s="422"/>
      <c r="H123" s="423"/>
      <c r="I123" s="423"/>
      <c r="J123" s="424"/>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20" t="s">
        <v>22</v>
      </c>
      <c r="E124" s="421"/>
      <c r="F124" s="8"/>
      <c r="G124" s="422"/>
      <c r="H124" s="423"/>
      <c r="I124" s="423"/>
      <c r="J124" s="424"/>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20" t="s">
        <v>22</v>
      </c>
      <c r="E125" s="421"/>
      <c r="F125" s="8"/>
      <c r="G125" s="422"/>
      <c r="H125" s="423"/>
      <c r="I125" s="423"/>
      <c r="J125" s="424"/>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20"/>
      <c r="E126" s="421"/>
      <c r="F126" s="8"/>
      <c r="G126" s="422"/>
      <c r="H126" s="423"/>
      <c r="I126" s="423"/>
      <c r="J126" s="424"/>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20"/>
      <c r="E127" s="421"/>
      <c r="F127" s="8"/>
      <c r="G127" s="422"/>
      <c r="H127" s="423"/>
      <c r="I127" s="423"/>
      <c r="J127" s="424"/>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20"/>
      <c r="E128" s="421"/>
      <c r="F128" s="8"/>
      <c r="G128" s="422"/>
      <c r="H128" s="423"/>
      <c r="I128" s="423"/>
      <c r="J128" s="424"/>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20"/>
      <c r="E129" s="421"/>
      <c r="F129" s="8"/>
      <c r="G129" s="422"/>
      <c r="H129" s="423"/>
      <c r="I129" s="423"/>
      <c r="J129" s="424"/>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20" t="s">
        <v>25</v>
      </c>
      <c r="E131" s="421"/>
      <c r="F131" s="50"/>
      <c r="G131" s="422"/>
      <c r="H131" s="423"/>
      <c r="I131" s="423"/>
      <c r="J131" s="424"/>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25" t="s">
        <v>32</v>
      </c>
      <c r="E133" s="426"/>
      <c r="F133" s="50"/>
      <c r="G133" s="422"/>
      <c r="H133" s="423"/>
      <c r="I133" s="423"/>
      <c r="J133" s="424"/>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27"/>
      <c r="H134" s="427"/>
      <c r="I134" s="427"/>
      <c r="J134" s="427"/>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20" t="s">
        <v>25</v>
      </c>
      <c r="E135" s="421"/>
      <c r="F135" s="50"/>
      <c r="G135" s="422"/>
      <c r="H135" s="423"/>
      <c r="I135" s="423"/>
      <c r="J135" s="424"/>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28"/>
      <c r="H136" s="428"/>
      <c r="I136" s="428"/>
      <c r="J136" s="428"/>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20" t="s">
        <v>25</v>
      </c>
      <c r="E137" s="421"/>
      <c r="F137" s="50"/>
      <c r="G137" s="422"/>
      <c r="H137" s="423"/>
      <c r="I137" s="423"/>
      <c r="J137" s="424"/>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17" t="str">
        <f>IF(OR($D$8="",$I$3=""),"","Click here to check required fields completion")</f>
        <v/>
      </c>
      <c r="C138" s="417"/>
      <c r="D138" s="417"/>
      <c r="E138" s="417"/>
      <c r="F138" s="417"/>
      <c r="G138" s="417"/>
      <c r="H138" s="417"/>
      <c r="I138" s="417"/>
      <c r="J138" s="417"/>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18" t="str">
        <f ca="1">OFFSET(L!$C$1,MATCH("General"&amp;"Cpy",L!$A:$A,0)-1,SL,,)</f>
        <v>© 2025 Responsible Minerals Initiative. All rights reserved.</v>
      </c>
      <c r="B139" s="419"/>
      <c r="C139" s="419"/>
      <c r="D139" s="419"/>
      <c r="E139" s="419"/>
      <c r="F139" s="419"/>
      <c r="G139" s="419"/>
      <c r="H139" s="419"/>
      <c r="I139" s="419"/>
      <c r="J139" s="419"/>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01">
    <mergeCell ref="G55:J55"/>
    <mergeCell ref="A1:K1"/>
    <mergeCell ref="D2:J2"/>
    <mergeCell ref="B4:H4"/>
    <mergeCell ref="I4:J4"/>
    <mergeCell ref="B7:J7"/>
    <mergeCell ref="B10:B11"/>
    <mergeCell ref="D11:J11"/>
    <mergeCell ref="B6:J6"/>
    <mergeCell ref="B12:B13"/>
    <mergeCell ref="E12:F12"/>
    <mergeCell ref="E13:F13"/>
    <mergeCell ref="B14:B15"/>
    <mergeCell ref="E14:F14"/>
    <mergeCell ref="E15:F15"/>
    <mergeCell ref="D30:E30"/>
    <mergeCell ref="D36:E36"/>
    <mergeCell ref="D16:J16"/>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9:G9"/>
    <mergeCell ref="D29:E29"/>
    <mergeCell ref="D27:E27"/>
    <mergeCell ref="D17:J17"/>
    <mergeCell ref="D37:E37"/>
    <mergeCell ref="B28:J28"/>
    <mergeCell ref="D59:E59"/>
    <mergeCell ref="D39:E39"/>
    <mergeCell ref="D31:E31"/>
    <mergeCell ref="G46:J46"/>
    <mergeCell ref="G32:J32"/>
    <mergeCell ref="D33:E33"/>
    <mergeCell ref="G33:J33"/>
    <mergeCell ref="D34:E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D91:E91"/>
    <mergeCell ref="D92:E92"/>
    <mergeCell ref="G92:J92"/>
    <mergeCell ref="D93:E93"/>
    <mergeCell ref="G93:J93"/>
    <mergeCell ref="D94:E94"/>
    <mergeCell ref="D95:E95"/>
    <mergeCell ref="D96:E96"/>
    <mergeCell ref="G96:J96"/>
    <mergeCell ref="D97:E97"/>
    <mergeCell ref="G97:J97"/>
    <mergeCell ref="D98:E98"/>
    <mergeCell ref="G98:J98"/>
    <mergeCell ref="D99:E99"/>
    <mergeCell ref="G99:J99"/>
    <mergeCell ref="D101:E101"/>
    <mergeCell ref="H101:J101"/>
    <mergeCell ref="D102:E102"/>
    <mergeCell ref="D103:E103"/>
    <mergeCell ref="D104:E104"/>
    <mergeCell ref="G104:J104"/>
    <mergeCell ref="D105:E105"/>
    <mergeCell ref="G105:J105"/>
    <mergeCell ref="D106:E106"/>
    <mergeCell ref="D107:E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J121"/>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70" t="str">
        <f ca="1">OFFSET(L!$C$1,MATCH("Smelter List"&amp;ADDRESS(ROW(),COLUMN(),4),L!$A:$A,0)-1,SL,,)</f>
        <v>Link to "RMAP Conformant Smelter List"</v>
      </c>
      <c r="K2" s="471"/>
      <c r="L2" s="471"/>
      <c r="M2" s="471"/>
      <c r="N2" s="471"/>
      <c r="O2" s="471"/>
      <c r="P2" s="162"/>
      <c r="Q2" s="163"/>
      <c r="R2" s="164"/>
      <c r="S2" s="164"/>
      <c r="T2" s="164"/>
      <c r="AB2" s="312"/>
      <c r="AH2" s="130" t="s">
        <v>25</v>
      </c>
    </row>
    <row r="3" spans="1:34" s="16" customFormat="1" ht="249.45" customHeight="1">
      <c r="A3" s="202"/>
      <c r="B3" s="47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2"/>
      <c r="D3" s="472"/>
      <c r="E3" s="472"/>
      <c r="F3" s="165"/>
      <c r="G3" s="473" t="str">
        <f ca="1">OFFSET(L!$C$1,MATCH("General"&amp;"Cpy",L!$A:$A,0)-1,SL,,)</f>
        <v>© 2025 Responsible Minerals Initiative. All rights reserved.</v>
      </c>
      <c r="H3" s="474"/>
      <c r="I3" s="475"/>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399999999999999">
      <c r="A5" s="198" t="s">
        <v>18774</v>
      </c>
      <c r="B5" s="304" t="s">
        <v>18641</v>
      </c>
      <c r="C5" s="152" t="s">
        <v>18773</v>
      </c>
      <c r="D5" s="149"/>
      <c r="E5" s="149" t="s">
        <v>133</v>
      </c>
      <c r="F5" s="149" t="s">
        <v>18774</v>
      </c>
      <c r="G5" s="149" t="s">
        <v>12</v>
      </c>
      <c r="H5" s="206"/>
      <c r="I5" s="207" t="s">
        <v>19197</v>
      </c>
      <c r="J5" s="207" t="s">
        <v>241</v>
      </c>
      <c r="K5" s="150"/>
      <c r="L5" s="150"/>
      <c r="M5" s="150"/>
      <c r="N5" s="150"/>
      <c r="O5" s="150"/>
      <c r="P5" s="209"/>
      <c r="Q5" s="151"/>
      <c r="R5" s="149" t="str">
        <f ca="1">IF(ISERROR($V5),"",OFFSET('Smelter Look-up'!$C$4,$V5-4,0)&amp;"")</f>
        <v>Toyo Smelter &amp; Refinery, Sumitomo Metal Mining</v>
      </c>
      <c r="S5" s="155" t="str">
        <f t="shared" ref="S5:S12" ca="1" si="0">IF(B5="","",IF(ISERROR(MATCH($E5,CL,0)),"Unknown",INDIRECT("'C'!$A$"&amp;MATCH($E5,CL,0)+1)))</f>
        <v>JP</v>
      </c>
      <c r="T5" s="155" t="str">
        <f ca="1">IF(B5="","",IF(ISERROR(MATCH($J5,SorP!$B$1:$B$6226,0)),"",INDIRECT("'SorP'!$A$"&amp;MATCH($S5&amp;$J5,SorP!C:C,0))))</f>
        <v>JP-38</v>
      </c>
      <c r="U5" s="168"/>
      <c r="V5" s="169">
        <f>IF(C5="",NA(),MATCH($B5&amp;$C5,'Smelter Look-up'!$J:$J,0))</f>
        <v>269</v>
      </c>
      <c r="X5" s="170">
        <f t="shared" ref="X5:X12" si="1">IF(AND(C5="Smelter not listed",OR(LEN(D5)=0,LEN(E5)=0)),1,0)</f>
        <v>0</v>
      </c>
      <c r="AB5" s="314" t="str">
        <f t="shared" ref="AB5:AB12" si="2">IF(C5="","",B5)</f>
        <v>Copper</v>
      </c>
    </row>
    <row r="6" spans="1:34" s="170" customFormat="1" ht="20.399999999999999">
      <c r="A6" s="198" t="s">
        <v>358</v>
      </c>
      <c r="B6" s="304" t="s">
        <v>41</v>
      </c>
      <c r="C6" s="152" t="s">
        <v>357</v>
      </c>
      <c r="D6" s="149"/>
      <c r="E6" s="149" t="s">
        <v>133</v>
      </c>
      <c r="F6" s="149" t="s">
        <v>358</v>
      </c>
      <c r="G6" s="149" t="s">
        <v>12</v>
      </c>
      <c r="H6" s="206"/>
      <c r="I6" s="207" t="s">
        <v>359</v>
      </c>
      <c r="J6" s="207" t="s">
        <v>360</v>
      </c>
      <c r="K6" s="150"/>
      <c r="L6" s="150"/>
      <c r="M6" s="150"/>
      <c r="N6" s="150"/>
      <c r="O6" s="150"/>
      <c r="P6" s="209"/>
      <c r="Q6" s="151"/>
      <c r="R6" s="149" t="str">
        <f ca="1">IF(ISERROR($V6),"",OFFSET('Smelter Look-up'!$C$4,$V6-4,0)&amp;"")</f>
        <v>Yamaguchi Mica</v>
      </c>
      <c r="S6" s="155" t="str">
        <f t="shared" ca="1" si="0"/>
        <v>JP</v>
      </c>
      <c r="T6" s="155" t="str">
        <f ca="1">IF(B6="","",IF(ISERROR(MATCH($J6,SorP!$B$1:$B$6226,0)),"",INDIRECT("'SorP'!$A$"&amp;MATCH($S6&amp;$J6,SorP!C:C,0))))</f>
        <v>JP-23</v>
      </c>
      <c r="U6" s="168"/>
      <c r="V6" s="169">
        <f>IF(C6="",NA(),MATCH($B6&amp;$C6,'Smelter Look-up'!$J:$J,0))</f>
        <v>374</v>
      </c>
      <c r="X6" s="170">
        <f t="shared" si="1"/>
        <v>0</v>
      </c>
      <c r="AB6" s="314" t="str">
        <f t="shared" si="2"/>
        <v>Mica</v>
      </c>
    </row>
    <row r="7" spans="1:34" s="170" customFormat="1" ht="20.399999999999999">
      <c r="A7" s="198" t="s">
        <v>18884</v>
      </c>
      <c r="B7" s="304" t="s">
        <v>18642</v>
      </c>
      <c r="C7" s="152" t="s">
        <v>132</v>
      </c>
      <c r="D7" s="149"/>
      <c r="E7" s="149" t="s">
        <v>133</v>
      </c>
      <c r="F7" s="149" t="s">
        <v>18884</v>
      </c>
      <c r="G7" s="149" t="s">
        <v>12</v>
      </c>
      <c r="H7" s="206"/>
      <c r="I7" s="207" t="s">
        <v>135</v>
      </c>
      <c r="J7" s="207" t="s">
        <v>6070</v>
      </c>
      <c r="K7" s="150"/>
      <c r="L7" s="150"/>
      <c r="M7" s="150"/>
      <c r="N7" s="150"/>
      <c r="O7" s="150"/>
      <c r="P7" s="209"/>
      <c r="Q7" s="151"/>
      <c r="R7" s="149" t="str">
        <f ca="1">IF(ISERROR($V7),"",OFFSET('Smelter Look-up'!$C$4,$V7-4,0)&amp;"")</f>
        <v>Harima Refinery, Sumitomo Metal Mining</v>
      </c>
      <c r="S7" s="155" t="str">
        <f t="shared" ca="1" si="0"/>
        <v>JP</v>
      </c>
      <c r="T7" s="155" t="str">
        <f ca="1">IF(B7="","",IF(ISERROR(MATCH($J7,SorP!$B$1:$B$6226,0)),"",INDIRECT("'SorP'!$A$"&amp;MATCH($S7&amp;$J7,SorP!C:C,0))))</f>
        <v>JP-28</v>
      </c>
      <c r="U7" s="168"/>
      <c r="V7" s="169">
        <f>IF(C7="",NA(),MATCH($B7&amp;$C7,'Smelter Look-up'!$J:$J,0))</f>
        <v>392</v>
      </c>
      <c r="X7" s="170">
        <f t="shared" si="1"/>
        <v>0</v>
      </c>
      <c r="AB7" s="314" t="str">
        <f t="shared" si="2"/>
        <v>Nickel</v>
      </c>
    </row>
    <row r="8" spans="1:34" s="170" customFormat="1" ht="25.2">
      <c r="A8" s="198" t="s">
        <v>19218</v>
      </c>
      <c r="B8" s="304" t="s">
        <v>18642</v>
      </c>
      <c r="C8" s="152" t="s">
        <v>12047</v>
      </c>
      <c r="D8" s="149" t="s">
        <v>20051</v>
      </c>
      <c r="E8" s="149" t="s">
        <v>65</v>
      </c>
      <c r="F8" s="149" t="s">
        <v>19218</v>
      </c>
      <c r="G8" s="149" t="s">
        <v>12</v>
      </c>
      <c r="H8" s="206"/>
      <c r="I8" s="207" t="s">
        <v>12048</v>
      </c>
      <c r="J8" s="207" t="s">
        <v>298</v>
      </c>
      <c r="K8" s="150"/>
      <c r="L8" s="150"/>
      <c r="M8" s="150"/>
      <c r="N8" s="150"/>
      <c r="O8" s="150"/>
      <c r="P8" s="209"/>
      <c r="Q8" s="151"/>
      <c r="R8" s="149" t="str">
        <f ca="1">IF(ISERROR($V8),"",OFFSET('Smelter Look-up'!$C$4,$V8-4,0)&amp;"")</f>
        <v>Fujian Evergreen New Energy Technology Co.</v>
      </c>
      <c r="S8" s="155" t="str">
        <f t="shared" ca="1" si="0"/>
        <v>CN</v>
      </c>
      <c r="T8" s="155" t="str">
        <f ca="1">IF(B8="","",IF(ISERROR(MATCH($J8,SorP!$B$1:$B$6226,0)),"",INDIRECT("'SorP'!$A$"&amp;MATCH($S8&amp;$J8,SorP!C:C,0))))</f>
        <v>CN-FJ</v>
      </c>
      <c r="U8" s="168"/>
      <c r="V8" s="169">
        <f>IF(C8="",NA(),MATCH($B8&amp;$C8,'Smelter Look-up'!$J:$J,0))</f>
        <v>384</v>
      </c>
      <c r="X8" s="170">
        <f t="shared" si="1"/>
        <v>0</v>
      </c>
      <c r="AB8" s="314" t="str">
        <f t="shared" si="2"/>
        <v>Nickel</v>
      </c>
    </row>
    <row r="9" spans="1:34" s="170" customFormat="1" ht="20.399999999999999">
      <c r="A9" s="198" t="s">
        <v>72</v>
      </c>
      <c r="B9" s="304" t="s">
        <v>40</v>
      </c>
      <c r="C9" s="152" t="s">
        <v>70</v>
      </c>
      <c r="D9" s="149"/>
      <c r="E9" s="149" t="s">
        <v>71</v>
      </c>
      <c r="F9" s="149" t="s">
        <v>72</v>
      </c>
      <c r="G9" s="149" t="s">
        <v>12</v>
      </c>
      <c r="H9" s="206"/>
      <c r="I9" s="207" t="s">
        <v>73</v>
      </c>
      <c r="J9" s="207" t="s">
        <v>7357</v>
      </c>
      <c r="K9" s="150"/>
      <c r="L9" s="150"/>
      <c r="M9" s="150"/>
      <c r="N9" s="150"/>
      <c r="O9" s="150"/>
      <c r="P9" s="209"/>
      <c r="Q9" s="151"/>
      <c r="R9" s="149" t="str">
        <f ca="1">IF(ISERROR($V9),"",OFFSET('Smelter Look-up'!$C$4,$V9-4,0)&amp;"")</f>
        <v>Compagnie de Tifnout Tiranimine</v>
      </c>
      <c r="S9" s="155" t="str">
        <f t="shared" ca="1" si="0"/>
        <v>MA</v>
      </c>
      <c r="T9" s="155" t="str">
        <f ca="1">IF(B9="","",IF(ISERROR(MATCH($J9,SorP!$B$1:$B$6226,0)),"",INDIRECT("'SorP'!$A$"&amp;MATCH($S9&amp;$J9,SorP!C:C,0))))</f>
        <v>MA-07</v>
      </c>
      <c r="U9" s="168"/>
      <c r="V9" s="169">
        <f>IF(C9="",NA(),MATCH($B9&amp;$C9,'Smelter Look-up'!$J:$J,0))</f>
        <v>12</v>
      </c>
      <c r="X9" s="170">
        <f t="shared" si="1"/>
        <v>0</v>
      </c>
      <c r="AB9" s="314" t="str">
        <f t="shared" si="2"/>
        <v>Cobalt</v>
      </c>
    </row>
    <row r="10" spans="1:34" s="170" customFormat="1" ht="20.399999999999999">
      <c r="A10" s="198" t="s">
        <v>246</v>
      </c>
      <c r="B10" s="304" t="s">
        <v>40</v>
      </c>
      <c r="C10" s="152" t="s">
        <v>245</v>
      </c>
      <c r="D10" s="149"/>
      <c r="E10" s="149" t="s">
        <v>101</v>
      </c>
      <c r="F10" s="149" t="s">
        <v>246</v>
      </c>
      <c r="G10" s="149" t="s">
        <v>12</v>
      </c>
      <c r="H10" s="206"/>
      <c r="I10" s="207" t="s">
        <v>247</v>
      </c>
      <c r="J10" s="207" t="s">
        <v>248</v>
      </c>
      <c r="K10" s="150"/>
      <c r="L10" s="150"/>
      <c r="M10" s="150"/>
      <c r="N10" s="150"/>
      <c r="O10" s="150"/>
      <c r="P10" s="209"/>
      <c r="Q10" s="151"/>
      <c r="R10" s="149" t="str">
        <f ca="1">IF(ISERROR($V10),"",OFFSET('Smelter Look-up'!$C$4,$V10-4,0)&amp;"")</f>
        <v>NORILSK NICKEL HARJAVALTA OY</v>
      </c>
      <c r="S10" s="155" t="str">
        <f t="shared" ca="1" si="0"/>
        <v>FI</v>
      </c>
      <c r="T10" s="155" t="str">
        <f ca="1">IF(B10="","",IF(ISERROR(MATCH($J10,SorP!$B$1:$B$6226,0)),"",INDIRECT("'SorP'!$A$"&amp;MATCH($S10&amp;$J10,SorP!C:C,0))))</f>
        <v>FI-17</v>
      </c>
      <c r="U10" s="168"/>
      <c r="V10" s="169">
        <f>IF(C10="",NA(),MATCH($B10&amp;$C10,'Smelter Look-up'!$J:$J,0))</f>
        <v>124</v>
      </c>
      <c r="X10" s="170">
        <f t="shared" si="1"/>
        <v>0</v>
      </c>
      <c r="AB10" s="314" t="str">
        <f t="shared" si="2"/>
        <v>Cobalt</v>
      </c>
    </row>
    <row r="11" spans="1:34" s="170" customFormat="1" ht="20.399999999999999">
      <c r="A11" s="199" t="s">
        <v>258</v>
      </c>
      <c r="B11" s="304" t="s">
        <v>40</v>
      </c>
      <c r="C11" s="152" t="s">
        <v>257</v>
      </c>
      <c r="D11" s="149"/>
      <c r="E11" s="149" t="s">
        <v>65</v>
      </c>
      <c r="F11" s="149" t="s">
        <v>258</v>
      </c>
      <c r="G11" s="149" t="s">
        <v>12</v>
      </c>
      <c r="H11" s="206"/>
      <c r="I11" s="207" t="s">
        <v>259</v>
      </c>
      <c r="J11" s="207" t="s">
        <v>205</v>
      </c>
      <c r="K11" s="150"/>
      <c r="L11" s="150"/>
      <c r="M11" s="150"/>
      <c r="N11" s="150"/>
      <c r="O11" s="150"/>
      <c r="P11" s="209"/>
      <c r="Q11" s="151"/>
      <c r="R11" s="149" t="str">
        <f ca="1">IF(ISERROR($V11),"",OFFSET('Smelter Look-up'!$C$4,$V11-4,0)&amp;"")</f>
        <v>Quzhou Huayou Cobalt New Material Co., Ltd.</v>
      </c>
      <c r="S11" s="155" t="str">
        <f t="shared" ca="1" si="0"/>
        <v>CN</v>
      </c>
      <c r="T11" s="155" t="str">
        <f ca="1">IF(B11="","",IF(ISERROR(MATCH($J11,SorP!$B$1:$B$6226,0)),"",INDIRECT("'SorP'!$A$"&amp;MATCH($S11&amp;$J11,SorP!C:C,0))))</f>
        <v>CN-ZJ</v>
      </c>
      <c r="U11" s="168"/>
      <c r="V11" s="169">
        <f>IF(C11="",NA(),MATCH($B11&amp;$C11,'Smelter Look-up'!$J:$J,0))</f>
        <v>133</v>
      </c>
      <c r="X11" s="170">
        <f t="shared" si="1"/>
        <v>0</v>
      </c>
      <c r="AB11" s="314" t="str">
        <f t="shared" si="2"/>
        <v>Cobalt</v>
      </c>
    </row>
    <row r="12" spans="1:34" s="170" customFormat="1" ht="20.399999999999999">
      <c r="A12" s="198" t="s">
        <v>239</v>
      </c>
      <c r="B12" s="304" t="s">
        <v>40</v>
      </c>
      <c r="C12" s="152" t="s">
        <v>12059</v>
      </c>
      <c r="D12" s="149"/>
      <c r="E12" s="149" t="s">
        <v>133</v>
      </c>
      <c r="F12" s="149" t="s">
        <v>239</v>
      </c>
      <c r="G12" s="149" t="s">
        <v>12</v>
      </c>
      <c r="H12" s="206"/>
      <c r="I12" s="207" t="s">
        <v>240</v>
      </c>
      <c r="J12" s="207" t="s">
        <v>241</v>
      </c>
      <c r="K12" s="150"/>
      <c r="L12" s="150"/>
      <c r="M12" s="150"/>
      <c r="N12" s="150"/>
      <c r="O12" s="150"/>
      <c r="P12" s="209"/>
      <c r="Q12" s="151"/>
      <c r="R12" s="149" t="str">
        <f ca="1">IF(ISERROR($V12),"",OFFSET('Smelter Look-up'!$C$4,$V12-4,0)&amp;"")</f>
        <v>Niihama Nickel Refinery, Sumitomo Metal Mining</v>
      </c>
      <c r="S12" s="155" t="str">
        <f t="shared" ca="1" si="0"/>
        <v>JP</v>
      </c>
      <c r="T12" s="155" t="str">
        <f ca="1">IF(B12="","",IF(ISERROR(MATCH($J12,SorP!$B$1:$B$6226,0)),"",INDIRECT("'SorP'!$A$"&amp;MATCH($S12&amp;$J12,SorP!C:C,0))))</f>
        <v>JP-38</v>
      </c>
      <c r="U12" s="168"/>
      <c r="V12" s="169">
        <f>IF(C12="",NA(),MATCH($B12&amp;$C12,'Smelter Look-up'!$J:$J,0))</f>
        <v>122</v>
      </c>
      <c r="X12" s="170">
        <f t="shared" si="1"/>
        <v>0</v>
      </c>
      <c r="AB12" s="314" t="str">
        <f t="shared" si="2"/>
        <v>Cobalt</v>
      </c>
    </row>
    <row r="13" spans="1:34" s="170" customFormat="1" ht="20.399999999999999">
      <c r="A13" s="198" t="s">
        <v>301</v>
      </c>
      <c r="B13" s="304" t="s">
        <v>40</v>
      </c>
      <c r="C13" s="152" t="s">
        <v>300</v>
      </c>
      <c r="D13" s="149"/>
      <c r="E13" s="149" t="s">
        <v>65</v>
      </c>
      <c r="F13" s="149" t="s">
        <v>301</v>
      </c>
      <c r="G13" s="149" t="s">
        <v>12</v>
      </c>
      <c r="H13" s="206"/>
      <c r="I13" s="207" t="s">
        <v>302</v>
      </c>
      <c r="J13" s="207" t="s">
        <v>205</v>
      </c>
      <c r="K13" s="150"/>
      <c r="L13" s="150"/>
      <c r="M13" s="150"/>
      <c r="N13" s="150"/>
      <c r="O13" s="150"/>
      <c r="P13" s="209"/>
      <c r="Q13" s="151"/>
      <c r="R13" s="149" t="str">
        <f ca="1">IF(ISERROR($V13),"",OFFSET('Smelter Look-up'!$C$4,$V13-4,0)&amp;"")</f>
        <v>Zhejiang Huayou Cobalt Company Limited</v>
      </c>
      <c r="S13" s="155" t="str">
        <f t="shared" ref="S13:S63" ca="1" si="3">IF(B13="","",IF(ISERROR(MATCH($E13,CL,0)),"Unknown",INDIRECT("'C'!$A$"&amp;MATCH($E13,CL,0)+1)))</f>
        <v>CN</v>
      </c>
      <c r="T13" s="155" t="str">
        <f ca="1">IF(B13="","",IF(ISERROR(MATCH($J13,SorP!$B$1:$B$6226,0)),"",INDIRECT("'SorP'!$A$"&amp;MATCH($S13&amp;$J13,SorP!C:C,0))))</f>
        <v>CN-ZJ</v>
      </c>
      <c r="U13" s="168"/>
      <c r="V13" s="169">
        <f>IF(C13="",NA(),MATCH($B13&amp;$C13,'Smelter Look-up'!$J:$J,0))</f>
        <v>170</v>
      </c>
      <c r="X13" s="170">
        <f t="shared" ref="X13:X62" si="4">IF(AND(C13="Smelter not listed",OR(LEN(D13)=0,LEN(E13)=0)),1,0)</f>
        <v>0</v>
      </c>
      <c r="AB13" s="314" t="str">
        <f t="shared" ref="AB13:AB69" si="5">IF(C13="","",B13)</f>
        <v>Cobalt</v>
      </c>
    </row>
    <row r="14" spans="1:34" s="170" customFormat="1" ht="25.2">
      <c r="A14" s="199" t="s">
        <v>282</v>
      </c>
      <c r="B14" s="304" t="s">
        <v>40</v>
      </c>
      <c r="C14" s="152" t="s">
        <v>19178</v>
      </c>
      <c r="D14" s="149"/>
      <c r="E14" s="149" t="s">
        <v>95</v>
      </c>
      <c r="F14" s="149" t="s">
        <v>282</v>
      </c>
      <c r="G14" s="149" t="s">
        <v>12</v>
      </c>
      <c r="H14" s="206"/>
      <c r="I14" s="207" t="s">
        <v>283</v>
      </c>
      <c r="J14" s="207" t="s">
        <v>284</v>
      </c>
      <c r="K14" s="150"/>
      <c r="L14" s="150"/>
      <c r="M14" s="150"/>
      <c r="N14" s="150"/>
      <c r="O14" s="150"/>
      <c r="P14" s="209"/>
      <c r="Q14" s="151"/>
      <c r="R14" s="149" t="str">
        <f ca="1">IF(ISERROR($V14),"",OFFSET('Smelter Look-up'!$C$4,$V14-4,0)&amp;"")</f>
        <v>Vale - Long Harbour Processing Plant (LHPP)</v>
      </c>
      <c r="S14" s="155" t="str">
        <f t="shared" ca="1" si="3"/>
        <v>CA</v>
      </c>
      <c r="T14" s="155" t="str">
        <f ca="1">IF(B14="","",IF(ISERROR(MATCH($J14,SorP!$B$1:$B$6226,0)),"",INDIRECT("'SorP'!$A$"&amp;MATCH($S14&amp;$J14,SorP!C:C,0))))</f>
        <v>CA-NL</v>
      </c>
      <c r="U14" s="168"/>
      <c r="V14" s="169">
        <f>IF(C14="",NA(),MATCH($B14&amp;$C14,'Smelter Look-up'!$J:$J,0))</f>
        <v>155</v>
      </c>
      <c r="X14" s="170">
        <f t="shared" si="4"/>
        <v>0</v>
      </c>
      <c r="AB14" s="314" t="str">
        <f t="shared" si="5"/>
        <v>Cobalt</v>
      </c>
    </row>
    <row r="15" spans="1:34" s="170" customFormat="1" ht="25.2">
      <c r="A15" s="199" t="s">
        <v>18704</v>
      </c>
      <c r="B15" s="304" t="s">
        <v>18641</v>
      </c>
      <c r="C15" s="152" t="s">
        <v>177</v>
      </c>
      <c r="D15" s="149"/>
      <c r="E15" s="149" t="s">
        <v>60</v>
      </c>
      <c r="F15" s="149" t="s">
        <v>18704</v>
      </c>
      <c r="G15" s="149" t="s">
        <v>12</v>
      </c>
      <c r="H15" s="206"/>
      <c r="I15" s="207" t="s">
        <v>179</v>
      </c>
      <c r="J15" s="207" t="s">
        <v>180</v>
      </c>
      <c r="K15" s="150"/>
      <c r="L15" s="150"/>
      <c r="M15" s="150"/>
      <c r="N15" s="150"/>
      <c r="O15" s="150"/>
      <c r="P15" s="209"/>
      <c r="Q15" s="151"/>
      <c r="R15" s="149" t="str">
        <f ca="1">IF(ISERROR($V15),"",OFFSET('Smelter Look-up'!$C$4,$V15-4,0)&amp;"")</f>
        <v>Kamoto Copper Company</v>
      </c>
      <c r="S15" s="155" t="str">
        <f t="shared" ca="1" si="3"/>
        <v>CD</v>
      </c>
      <c r="T15" s="155" t="str">
        <f ca="1">IF(B15="","",IF(ISERROR(MATCH($J15,SorP!$B$1:$B$6226,0)),"",INDIRECT("'SorP'!$A$"&amp;MATCH($S15&amp;$J15,SorP!C:C,0))))</f>
        <v>CD-LU</v>
      </c>
      <c r="U15" s="168"/>
      <c r="V15" s="169">
        <f>IF(C15="",NA(),MATCH($B15&amp;$C15,'Smelter Look-up'!$J:$J,0))</f>
        <v>212</v>
      </c>
      <c r="X15" s="170">
        <f t="shared" si="4"/>
        <v>0</v>
      </c>
      <c r="AB15" s="314" t="str">
        <f t="shared" si="5"/>
        <v>Copper</v>
      </c>
    </row>
    <row r="16" spans="1:34" s="170" customFormat="1" ht="25.2">
      <c r="A16" s="198" t="s">
        <v>18771</v>
      </c>
      <c r="B16" s="304" t="s">
        <v>18641</v>
      </c>
      <c r="C16" s="152" t="s">
        <v>12060</v>
      </c>
      <c r="D16" s="149"/>
      <c r="E16" s="149" t="s">
        <v>60</v>
      </c>
      <c r="F16" s="149" t="s">
        <v>18771</v>
      </c>
      <c r="G16" s="149" t="s">
        <v>12</v>
      </c>
      <c r="H16" s="206"/>
      <c r="I16" s="207" t="s">
        <v>19186</v>
      </c>
      <c r="J16" s="207" t="s">
        <v>180</v>
      </c>
      <c r="K16" s="150"/>
      <c r="L16" s="150"/>
      <c r="M16" s="150"/>
      <c r="N16" s="150"/>
      <c r="O16" s="150"/>
      <c r="P16" s="209"/>
      <c r="Q16" s="151"/>
      <c r="R16" s="149" t="str">
        <f ca="1">IF(ISERROR($V16),"",OFFSET('Smelter Look-up'!$C$4,$V16-4,0)&amp;"")</f>
        <v>Tenke Fungurume Mining SA</v>
      </c>
      <c r="S16" s="155" t="str">
        <f t="shared" ca="1" si="3"/>
        <v>CD</v>
      </c>
      <c r="T16" s="155" t="str">
        <f ca="1">IF(B16="","",IF(ISERROR(MATCH($J16,SorP!$B$1:$B$6226,0)),"",INDIRECT("'SorP'!$A$"&amp;MATCH($S16&amp;$J16,SorP!C:C,0))))</f>
        <v>CD-LU</v>
      </c>
      <c r="U16" s="168"/>
      <c r="V16" s="169">
        <f>IF(C16="",NA(),MATCH($B16&amp;$C16,'Smelter Look-up'!$J:$J,0))</f>
        <v>267</v>
      </c>
      <c r="X16" s="170">
        <f t="shared" si="4"/>
        <v>0</v>
      </c>
      <c r="AB16" s="314" t="str">
        <f t="shared" si="5"/>
        <v>Copper</v>
      </c>
    </row>
    <row r="17" spans="1:28" s="170" customFormat="1" ht="20.399999999999999">
      <c r="A17" s="198" t="s">
        <v>18892</v>
      </c>
      <c r="B17" s="304" t="s">
        <v>18642</v>
      </c>
      <c r="C17" s="152" t="s">
        <v>18699</v>
      </c>
      <c r="D17" s="149"/>
      <c r="E17" s="149" t="s">
        <v>1706</v>
      </c>
      <c r="F17" s="149" t="s">
        <v>18892</v>
      </c>
      <c r="G17" s="149" t="s">
        <v>12</v>
      </c>
      <c r="H17" s="206"/>
      <c r="I17" s="207" t="s">
        <v>12258</v>
      </c>
      <c r="J17" s="207" t="s">
        <v>3157</v>
      </c>
      <c r="K17" s="150"/>
      <c r="L17" s="150"/>
      <c r="M17" s="150"/>
      <c r="N17" s="150"/>
      <c r="O17" s="150"/>
      <c r="P17" s="209"/>
      <c r="Q17" s="151"/>
      <c r="R17" s="149" t="str">
        <f ca="1">IF(ISERROR($V17),"",OFFSET('Smelter Look-up'!$C$4,$V17-4,0)&amp;"")</f>
        <v>Impala Platinum - Rustenburg Smelter</v>
      </c>
      <c r="S17" s="155" t="str">
        <f t="shared" ca="1" si="3"/>
        <v>ZA</v>
      </c>
      <c r="T17" s="155" t="str">
        <f ca="1">IF(B17="","",IF(ISERROR(MATCH($J17,SorP!$B$1:$B$6226,0)),"",INDIRECT("'SorP'!$A$"&amp;MATCH($S17&amp;$J17,SorP!C:C,0))))</f>
        <v>ZA-NW</v>
      </c>
      <c r="U17" s="168"/>
      <c r="V17" s="169">
        <f>IF(C17="",NA(),MATCH($B17&amp;$C17,'Smelter Look-up'!$J:$J,0))</f>
        <v>398</v>
      </c>
      <c r="X17" s="170">
        <f t="shared" si="4"/>
        <v>0</v>
      </c>
      <c r="AB17" s="314" t="str">
        <f t="shared" si="5"/>
        <v>Nickel</v>
      </c>
    </row>
    <row r="18" spans="1:28" s="170" customFormat="1" ht="20.399999999999999">
      <c r="A18" s="198" t="s">
        <v>12044</v>
      </c>
      <c r="B18" s="304" t="s">
        <v>40</v>
      </c>
      <c r="C18" s="152" t="s">
        <v>12194</v>
      </c>
      <c r="D18" s="149"/>
      <c r="E18" s="149" t="s">
        <v>65</v>
      </c>
      <c r="F18" s="149" t="s">
        <v>12044</v>
      </c>
      <c r="G18" s="149" t="s">
        <v>12</v>
      </c>
      <c r="H18" s="206"/>
      <c r="I18" s="207" t="s">
        <v>12045</v>
      </c>
      <c r="J18" s="207" t="s">
        <v>68</v>
      </c>
      <c r="K18" s="150"/>
      <c r="L18" s="150"/>
      <c r="M18" s="150"/>
      <c r="N18" s="150"/>
      <c r="O18" s="150"/>
      <c r="P18" s="209"/>
      <c r="Q18" s="151"/>
      <c r="R18" s="149" t="str">
        <f ca="1">IF(ISERROR($V18),"",OFFSET('Smelter Look-up'!$C$4,$V18-4,0)&amp;"")</f>
        <v>Anhui Hanrui New Material Co., Ltd.</v>
      </c>
      <c r="S18" s="155" t="str">
        <f t="shared" ca="1" si="3"/>
        <v>CN</v>
      </c>
      <c r="T18" s="155" t="str">
        <f ca="1">IF(B18="","",IF(ISERROR(MATCH($J18,SorP!$B$1:$B$6226,0)),"",INDIRECT("'SorP'!$A$"&amp;MATCH($S18&amp;$J18,SorP!C:C,0))))</f>
        <v>CN-AH</v>
      </c>
      <c r="U18" s="168"/>
      <c r="V18" s="169">
        <f>IF(C18="",NA(),MATCH($B18&amp;$C18,'Smelter Look-up'!$J:$J,0))</f>
        <v>5</v>
      </c>
      <c r="X18" s="170">
        <f t="shared" si="4"/>
        <v>0</v>
      </c>
      <c r="AB18" s="314" t="str">
        <f t="shared" si="5"/>
        <v>Cobalt</v>
      </c>
    </row>
    <row r="19" spans="1:28" s="170" customFormat="1" ht="25.2">
      <c r="A19" s="198" t="s">
        <v>61</v>
      </c>
      <c r="B19" s="304" t="s">
        <v>40</v>
      </c>
      <c r="C19" s="152" t="s">
        <v>59</v>
      </c>
      <c r="D19" s="149"/>
      <c r="E19" s="149" t="s">
        <v>60</v>
      </c>
      <c r="F19" s="149" t="s">
        <v>61</v>
      </c>
      <c r="G19" s="149" t="s">
        <v>12</v>
      </c>
      <c r="H19" s="206"/>
      <c r="I19" s="207" t="s">
        <v>62</v>
      </c>
      <c r="J19" s="207" t="s">
        <v>63</v>
      </c>
      <c r="K19" s="150"/>
      <c r="L19" s="150"/>
      <c r="M19" s="150"/>
      <c r="N19" s="150"/>
      <c r="O19" s="150"/>
      <c r="P19" s="209"/>
      <c r="Q19" s="151"/>
      <c r="R19" s="149" t="str">
        <f ca="1">IF(ISERROR($V19),"",OFFSET('Smelter Look-up'!$C$4,$V19-4,0)&amp;"")</f>
        <v>Chemaf Etoile</v>
      </c>
      <c r="S19" s="155" t="str">
        <f t="shared" ca="1" si="3"/>
        <v>CD</v>
      </c>
      <c r="T19" s="155" t="str">
        <f ca="1">IF(B19="","",IF(ISERROR(MATCH($J19,SorP!$B$1:$B$6226,0)),"",INDIRECT("'SorP'!$A$"&amp;MATCH($S19&amp;$J19,SorP!C:C,0))))</f>
        <v>CD-HK</v>
      </c>
      <c r="U19" s="168"/>
      <c r="V19" s="169">
        <f>IF(C19="",NA(),MATCH($B19&amp;$C19,'Smelter Look-up'!$J:$J,0))</f>
        <v>7</v>
      </c>
      <c r="X19" s="170">
        <f t="shared" si="4"/>
        <v>0</v>
      </c>
      <c r="AB19" s="314" t="str">
        <f t="shared" si="5"/>
        <v>Cobalt</v>
      </c>
    </row>
    <row r="20" spans="1:28" s="170" customFormat="1" ht="25.2">
      <c r="A20" s="199" t="s">
        <v>19156</v>
      </c>
      <c r="B20" s="304" t="s">
        <v>40</v>
      </c>
      <c r="C20" s="152" t="s">
        <v>19155</v>
      </c>
      <c r="D20" s="149"/>
      <c r="E20" s="149" t="s">
        <v>60</v>
      </c>
      <c r="F20" s="149" t="s">
        <v>19156</v>
      </c>
      <c r="G20" s="149" t="s">
        <v>12</v>
      </c>
      <c r="H20" s="206"/>
      <c r="I20" s="207" t="s">
        <v>19180</v>
      </c>
      <c r="J20" s="207" t="s">
        <v>180</v>
      </c>
      <c r="K20" s="150"/>
      <c r="L20" s="150"/>
      <c r="M20" s="150"/>
      <c r="N20" s="150"/>
      <c r="O20" s="150"/>
      <c r="P20" s="209"/>
      <c r="Q20" s="151"/>
      <c r="R20" s="149" t="str">
        <f ca="1">IF(ISERROR($V20),"",OFFSET('Smelter Look-up'!$C$4,$V20-4,0)&amp;"")</f>
        <v>CMOC Kisanfu Mining SARL</v>
      </c>
      <c r="S20" s="155" t="str">
        <f t="shared" ca="1" si="3"/>
        <v>CD</v>
      </c>
      <c r="T20" s="155" t="str">
        <f ca="1">IF(B20="","",IF(ISERROR(MATCH($J20,SorP!$B$1:$B$6226,0)),"",INDIRECT("'SorP'!$A$"&amp;MATCH($S20&amp;$J20,SorP!C:C,0))))</f>
        <v>CD-LU</v>
      </c>
      <c r="U20" s="168"/>
      <c r="V20" s="169">
        <f>IF(C20="",NA(),MATCH($B20&amp;$C20,'Smelter Look-up'!$J:$J,0))</f>
        <v>10</v>
      </c>
      <c r="X20" s="170">
        <f t="shared" si="4"/>
        <v>0</v>
      </c>
      <c r="AB20" s="314" t="str">
        <f t="shared" si="5"/>
        <v>Cobalt</v>
      </c>
    </row>
    <row r="21" spans="1:28" s="170" customFormat="1" ht="25.2">
      <c r="A21" s="198" t="s">
        <v>77</v>
      </c>
      <c r="B21" s="304" t="s">
        <v>40</v>
      </c>
      <c r="C21" s="152" t="s">
        <v>19162</v>
      </c>
      <c r="D21" s="149"/>
      <c r="E21" s="149" t="s">
        <v>76</v>
      </c>
      <c r="F21" s="149" t="s">
        <v>77</v>
      </c>
      <c r="G21" s="149" t="s">
        <v>12</v>
      </c>
      <c r="H21" s="206"/>
      <c r="I21" s="207" t="s">
        <v>78</v>
      </c>
      <c r="J21" s="207" t="s">
        <v>79</v>
      </c>
      <c r="K21" s="150"/>
      <c r="L21" s="150"/>
      <c r="M21" s="150"/>
      <c r="N21" s="150"/>
      <c r="O21" s="150"/>
      <c r="P21" s="209"/>
      <c r="Q21" s="151"/>
      <c r="R21" s="149" t="str">
        <f ca="1">IF(ISERROR($V21),"",OFFSET('Smelter Look-up'!$C$4,$V21-4,0)&amp;"")</f>
        <v>Uranus Chemicals</v>
      </c>
      <c r="S21" s="155" t="str">
        <f t="shared" ca="1" si="3"/>
        <v>TW</v>
      </c>
      <c r="T21" s="155" t="str">
        <f ca="1">IF(B21="","",IF(ISERROR(MATCH($J21,SorP!$B$1:$B$6226,0)),"",INDIRECT("'SorP'!$A$"&amp;MATCH($S21&amp;$J21,SorP!C:C,0))))</f>
        <v>TW-MIA</v>
      </c>
      <c r="U21" s="168"/>
      <c r="V21" s="169">
        <f>IF(C21="",NA(),MATCH($B21&amp;$C21,'Smelter Look-up'!$J:$J,0))</f>
        <v>154</v>
      </c>
      <c r="X21" s="170">
        <f t="shared" si="4"/>
        <v>0</v>
      </c>
      <c r="AB21" s="314" t="str">
        <f t="shared" si="5"/>
        <v>Cobalt</v>
      </c>
    </row>
    <row r="22" spans="1:28" s="170" customFormat="1" ht="20.399999999999999">
      <c r="A22" s="198" t="s">
        <v>88</v>
      </c>
      <c r="B22" s="304" t="s">
        <v>40</v>
      </c>
      <c r="C22" s="152" t="s">
        <v>86</v>
      </c>
      <c r="D22" s="149"/>
      <c r="E22" s="149" t="s">
        <v>87</v>
      </c>
      <c r="F22" s="149" t="s">
        <v>88</v>
      </c>
      <c r="G22" s="149" t="s">
        <v>12</v>
      </c>
      <c r="H22" s="206"/>
      <c r="I22" s="207" t="s">
        <v>89</v>
      </c>
      <c r="J22" s="207" t="s">
        <v>89</v>
      </c>
      <c r="K22" s="150"/>
      <c r="L22" s="150"/>
      <c r="M22" s="150"/>
      <c r="N22" s="150"/>
      <c r="O22" s="150"/>
      <c r="P22" s="209"/>
      <c r="Q22" s="151"/>
      <c r="R22" s="149" t="str">
        <f ca="1">IF(ISERROR($V22),"",OFFSET('Smelter Look-up'!$C$4,$V22-4,0)&amp;"")</f>
        <v>Dynatec Madagascar Company</v>
      </c>
      <c r="S22" s="155" t="str">
        <f t="shared" ca="1" si="3"/>
        <v>MG</v>
      </c>
      <c r="T22" s="155" t="str">
        <f ca="1">IF(B22="","",IF(ISERROR(MATCH($J22,SorP!$B$1:$B$6226,0)),"",INDIRECT("'SorP'!$A$"&amp;MATCH($S22&amp;$J22,SorP!C:C,0))))</f>
        <v>MG-A</v>
      </c>
      <c r="U22" s="168"/>
      <c r="V22" s="169">
        <f>IF(C22="",NA(),MATCH($B22&amp;$C22,'Smelter Look-up'!$J:$J,0))</f>
        <v>21</v>
      </c>
      <c r="X22" s="170">
        <f t="shared" si="4"/>
        <v>0</v>
      </c>
      <c r="AB22" s="314" t="str">
        <f t="shared" si="5"/>
        <v>Cobalt</v>
      </c>
    </row>
    <row r="23" spans="1:28" s="170" customFormat="1" ht="20.399999999999999">
      <c r="A23" s="198" t="s">
        <v>12241</v>
      </c>
      <c r="B23" s="304" t="s">
        <v>40</v>
      </c>
      <c r="C23" s="152" t="s">
        <v>12240</v>
      </c>
      <c r="D23" s="149"/>
      <c r="E23" s="149" t="s">
        <v>81</v>
      </c>
      <c r="F23" s="149" t="s">
        <v>12241</v>
      </c>
      <c r="G23" s="149" t="s">
        <v>12</v>
      </c>
      <c r="H23" s="206"/>
      <c r="I23" s="207" t="s">
        <v>12242</v>
      </c>
      <c r="J23" s="207" t="s">
        <v>6424</v>
      </c>
      <c r="K23" s="150"/>
      <c r="L23" s="150"/>
      <c r="M23" s="150"/>
      <c r="N23" s="150"/>
      <c r="O23" s="150"/>
      <c r="P23" s="209"/>
      <c r="Q23" s="151"/>
      <c r="R23" s="149" t="str">
        <f ca="1">IF(ISERROR($V23),"",OFFSET('Smelter Look-up'!$C$4,$V23-4,0)&amp;"")</f>
        <v>Ecopro Materials Co., Ltd.</v>
      </c>
      <c r="S23" s="155" t="str">
        <f t="shared" ca="1" si="3"/>
        <v>KR</v>
      </c>
      <c r="T23" s="155" t="str">
        <f ca="1">IF(B23="","",IF(ISERROR(MATCH($J23,SorP!$B$1:$B$6226,0)),"",INDIRECT("'SorP'!$A$"&amp;MATCH($S23&amp;$J23,SorP!C:C,0))))</f>
        <v>KR-43</v>
      </c>
      <c r="U23" s="168"/>
      <c r="V23" s="169">
        <f>IF(C23="",NA(),MATCH($B23&amp;$C23,'Smelter Look-up'!$J:$J,0))</f>
        <v>22</v>
      </c>
      <c r="X23" s="170">
        <f t="shared" si="4"/>
        <v>0</v>
      </c>
      <c r="AB23" s="314" t="str">
        <f t="shared" si="5"/>
        <v>Cobalt</v>
      </c>
    </row>
    <row r="24" spans="1:28" s="170" customFormat="1" ht="20.399999999999999">
      <c r="A24" s="155" t="s">
        <v>12196</v>
      </c>
      <c r="B24" s="304" t="s">
        <v>40</v>
      </c>
      <c r="C24" s="152" t="s">
        <v>12195</v>
      </c>
      <c r="D24" s="149"/>
      <c r="E24" s="149" t="s">
        <v>1746</v>
      </c>
      <c r="F24" s="149" t="s">
        <v>12196</v>
      </c>
      <c r="G24" s="149" t="s">
        <v>12</v>
      </c>
      <c r="H24" s="206"/>
      <c r="I24" s="207" t="s">
        <v>10986</v>
      </c>
      <c r="J24" s="207" t="s">
        <v>10986</v>
      </c>
      <c r="K24" s="150"/>
      <c r="L24" s="150"/>
      <c r="M24" s="150"/>
      <c r="N24" s="150"/>
      <c r="O24" s="150"/>
      <c r="P24" s="209"/>
      <c r="Q24" s="151"/>
      <c r="R24" s="149" t="str">
        <f ca="1">IF(ISERROR($V24),"",OFFSET('Smelter Look-up'!$C$4,$V24-4,0)&amp;"")</f>
        <v>Eti Bakir A.S</v>
      </c>
      <c r="S24" s="155" t="str">
        <f t="shared" ca="1" si="3"/>
        <v>TR</v>
      </c>
      <c r="T24" s="155" t="str">
        <f ca="1">IF(B24="","",IF(ISERROR(MATCH($J24,SorP!$B$1:$B$6226,0)),"",INDIRECT("'SorP'!$A$"&amp;MATCH($S24&amp;$J24,SorP!C:C,0))))</f>
        <v>TR-47</v>
      </c>
      <c r="U24" s="168"/>
      <c r="V24" s="169">
        <f>IF(C24="",NA(),MATCH($B24&amp;$C24,'Smelter Look-up'!$J:$J,0))</f>
        <v>23</v>
      </c>
      <c r="X24" s="170">
        <f t="shared" si="4"/>
        <v>0</v>
      </c>
      <c r="AB24" s="314" t="str">
        <f t="shared" si="5"/>
        <v>Cobalt</v>
      </c>
    </row>
    <row r="25" spans="1:28" s="170" customFormat="1" ht="25.2">
      <c r="A25" s="155" t="s">
        <v>12244</v>
      </c>
      <c r="B25" s="304" t="s">
        <v>40</v>
      </c>
      <c r="C25" s="152" t="s">
        <v>12243</v>
      </c>
      <c r="D25" s="149"/>
      <c r="E25" s="149" t="s">
        <v>60</v>
      </c>
      <c r="F25" s="149" t="s">
        <v>12244</v>
      </c>
      <c r="G25" s="149" t="s">
        <v>12</v>
      </c>
      <c r="H25" s="206"/>
      <c r="I25" s="207" t="s">
        <v>12245</v>
      </c>
      <c r="J25" s="207" t="s">
        <v>63</v>
      </c>
      <c r="K25" s="150"/>
      <c r="L25" s="150"/>
      <c r="M25" s="150"/>
      <c r="N25" s="150"/>
      <c r="O25" s="150"/>
      <c r="P25" s="209"/>
      <c r="Q25" s="151"/>
      <c r="R25" s="149" t="str">
        <f ca="1">IF(ISERROR($V25),"",OFFSET('Smelter Look-up'!$C$4,$V25-4,0)&amp;"")</f>
        <v>Excellen Minerals SARL</v>
      </c>
      <c r="S25" s="155" t="str">
        <f t="shared" ca="1" si="3"/>
        <v>CD</v>
      </c>
      <c r="T25" s="155" t="str">
        <f ca="1">IF(B25="","",IF(ISERROR(MATCH($J25,SorP!$B$1:$B$6226,0)),"",INDIRECT("'SorP'!$A$"&amp;MATCH($S25&amp;$J25,SorP!C:C,0))))</f>
        <v>CD-HK</v>
      </c>
      <c r="U25" s="168"/>
      <c r="V25" s="169">
        <f>IF(C25="",NA(),MATCH($B25&amp;$C25,'Smelter Look-up'!$J:$J,0))</f>
        <v>26</v>
      </c>
      <c r="X25" s="170">
        <f t="shared" si="4"/>
        <v>0</v>
      </c>
      <c r="AB25" s="314" t="str">
        <f t="shared" si="5"/>
        <v>Cobalt</v>
      </c>
    </row>
    <row r="26" spans="1:28" s="170" customFormat="1" ht="20.399999999999999">
      <c r="A26" s="155" t="s">
        <v>102</v>
      </c>
      <c r="B26" s="304" t="s">
        <v>40</v>
      </c>
      <c r="C26" s="152" t="s">
        <v>100</v>
      </c>
      <c r="D26" s="149"/>
      <c r="E26" s="149" t="s">
        <v>101</v>
      </c>
      <c r="F26" s="149" t="s">
        <v>102</v>
      </c>
      <c r="G26" s="149" t="s">
        <v>12</v>
      </c>
      <c r="H26" s="206"/>
      <c r="I26" s="207" t="s">
        <v>103</v>
      </c>
      <c r="J26" s="207" t="s">
        <v>104</v>
      </c>
      <c r="K26" s="150"/>
      <c r="L26" s="150"/>
      <c r="M26" s="150"/>
      <c r="N26" s="150"/>
      <c r="O26" s="150"/>
      <c r="P26" s="209"/>
      <c r="Q26" s="151"/>
      <c r="R26" s="149" t="str">
        <f ca="1">IF(ISERROR($V26),"",OFFSET('Smelter Look-up'!$C$4,$V26-4,0)&amp;"")</f>
        <v>Umicore Finland Oy</v>
      </c>
      <c r="S26" s="155" t="str">
        <f t="shared" ca="1" si="3"/>
        <v>FI</v>
      </c>
      <c r="T26" s="155" t="str">
        <f ca="1">IF(B26="","",IF(ISERROR(MATCH($J26,SorP!$B$1:$B$6226,0)),"",INDIRECT("'SorP'!$A$"&amp;MATCH($S26&amp;$J26,SorP!C:C,0))))</f>
        <v>FI-07</v>
      </c>
      <c r="U26" s="168"/>
      <c r="V26" s="169">
        <f>IF(C26="",NA(),MATCH($B26&amp;$C26,'Smelter Look-up'!$J:$J,0))</f>
        <v>152</v>
      </c>
      <c r="X26" s="170">
        <f t="shared" si="4"/>
        <v>0</v>
      </c>
      <c r="AB26" s="314" t="str">
        <f t="shared" si="5"/>
        <v>Cobalt</v>
      </c>
    </row>
    <row r="27" spans="1:28" s="170" customFormat="1" ht="20.399999999999999">
      <c r="A27" s="155" t="s">
        <v>12046</v>
      </c>
      <c r="B27" s="304" t="s">
        <v>40</v>
      </c>
      <c r="C27" s="152" t="s">
        <v>12047</v>
      </c>
      <c r="D27" s="149"/>
      <c r="E27" s="149" t="s">
        <v>65</v>
      </c>
      <c r="F27" s="149" t="s">
        <v>12046</v>
      </c>
      <c r="G27" s="149" t="s">
        <v>12</v>
      </c>
      <c r="H27" s="206"/>
      <c r="I27" s="207" t="s">
        <v>12048</v>
      </c>
      <c r="J27" s="207" t="s">
        <v>298</v>
      </c>
      <c r="K27" s="150"/>
      <c r="L27" s="150"/>
      <c r="M27" s="150"/>
      <c r="N27" s="150"/>
      <c r="O27" s="150"/>
      <c r="P27" s="209"/>
      <c r="Q27" s="151"/>
      <c r="R27" s="149" t="str">
        <f ca="1">IF(ISERROR($V27),"",OFFSET('Smelter Look-up'!$C$4,$V27-4,0)&amp;"")</f>
        <v>Fujian Evergreen New Energy Technology Co.</v>
      </c>
      <c r="S27" s="155" t="str">
        <f t="shared" ca="1" si="3"/>
        <v>CN</v>
      </c>
      <c r="T27" s="155" t="str">
        <f ca="1">IF(B27="","",IF(ISERROR(MATCH($J27,SorP!$B$1:$B$6226,0)),"",INDIRECT("'SorP'!$A$"&amp;MATCH($S27&amp;$J27,SorP!C:C,0))))</f>
        <v>CN-FJ</v>
      </c>
      <c r="U27" s="168"/>
      <c r="V27" s="169">
        <f>IF(C27="",NA(),MATCH($B27&amp;$C27,'Smelter Look-up'!$J:$J,0))</f>
        <v>30</v>
      </c>
      <c r="X27" s="170">
        <f t="shared" si="4"/>
        <v>0</v>
      </c>
      <c r="AB27" s="314" t="str">
        <f t="shared" si="5"/>
        <v>Cobalt</v>
      </c>
    </row>
    <row r="28" spans="1:28" s="170" customFormat="1" ht="20.399999999999999">
      <c r="A28" s="155" t="s">
        <v>19231</v>
      </c>
      <c r="B28" s="304" t="s">
        <v>40</v>
      </c>
      <c r="C28" s="152" t="s">
        <v>19230</v>
      </c>
      <c r="D28" s="149"/>
      <c r="E28" s="149" t="s">
        <v>65</v>
      </c>
      <c r="F28" s="149" t="s">
        <v>19231</v>
      </c>
      <c r="G28" s="149" t="s">
        <v>12</v>
      </c>
      <c r="H28" s="206"/>
      <c r="I28" s="207" t="s">
        <v>105</v>
      </c>
      <c r="J28" s="207" t="s">
        <v>106</v>
      </c>
      <c r="K28" s="150"/>
      <c r="L28" s="150"/>
      <c r="M28" s="150"/>
      <c r="N28" s="150"/>
      <c r="O28" s="150"/>
      <c r="P28" s="209"/>
      <c r="Q28" s="151"/>
      <c r="R28" s="149" t="str">
        <f ca="1">IF(ISERROR($V28),"",OFFSET('Smelter Look-up'!$C$4,$V28-4,0)&amp;"")</f>
        <v>Gangzhou Yi Hao Umicore Industry Co.</v>
      </c>
      <c r="S28" s="155" t="str">
        <f t="shared" ca="1" si="3"/>
        <v>CN</v>
      </c>
      <c r="T28" s="155" t="str">
        <f ca="1">IF(B28="","",IF(ISERROR(MATCH($J28,SorP!$B$1:$B$6226,0)),"",INDIRECT("'SorP'!$A$"&amp;MATCH($S28&amp;$J28,SorP!C:C,0))))</f>
        <v>CN-JX</v>
      </c>
      <c r="U28" s="168"/>
      <c r="V28" s="169">
        <f>IF(C28="",NA(),MATCH($B28&amp;$C28,'Smelter Look-up'!$J:$J,0))</f>
        <v>31</v>
      </c>
      <c r="X28" s="170">
        <f t="shared" si="4"/>
        <v>0</v>
      </c>
      <c r="AB28" s="314" t="str">
        <f t="shared" si="5"/>
        <v>Cobalt</v>
      </c>
    </row>
    <row r="29" spans="1:28" s="170" customFormat="1" ht="20.399999999999999">
      <c r="A29" s="155" t="s">
        <v>108</v>
      </c>
      <c r="B29" s="304" t="s">
        <v>40</v>
      </c>
      <c r="C29" s="152" t="s">
        <v>107</v>
      </c>
      <c r="D29" s="149"/>
      <c r="E29" s="149" t="s">
        <v>65</v>
      </c>
      <c r="F29" s="149" t="s">
        <v>108</v>
      </c>
      <c r="G29" s="149" t="s">
        <v>12</v>
      </c>
      <c r="H29" s="206"/>
      <c r="I29" s="207" t="s">
        <v>105</v>
      </c>
      <c r="J29" s="207" t="s">
        <v>106</v>
      </c>
      <c r="K29" s="150"/>
      <c r="L29" s="150"/>
      <c r="M29" s="150"/>
      <c r="N29" s="150"/>
      <c r="O29" s="150"/>
      <c r="P29" s="209"/>
      <c r="Q29" s="151"/>
      <c r="R29" s="149" t="str">
        <f ca="1">IF(ISERROR($V29),"",OFFSET('Smelter Look-up'!$C$4,$V29-4,0)&amp;"")</f>
        <v>Ganzhou Highpower Technology Co., Ltd.</v>
      </c>
      <c r="S29" s="155" t="str">
        <f t="shared" ca="1" si="3"/>
        <v>CN</v>
      </c>
      <c r="T29" s="155" t="str">
        <f ca="1">IF(B29="","",IF(ISERROR(MATCH($J29,SorP!$B$1:$B$6226,0)),"",INDIRECT("'SorP'!$A$"&amp;MATCH($S29&amp;$J29,SorP!C:C,0))))</f>
        <v>CN-JX</v>
      </c>
      <c r="U29" s="168"/>
      <c r="V29" s="169">
        <f>IF(C29="",NA(),MATCH($B29&amp;$C29,'Smelter Look-up'!$J:$J,0))</f>
        <v>34</v>
      </c>
      <c r="X29" s="170">
        <f t="shared" si="4"/>
        <v>0</v>
      </c>
      <c r="AB29" s="314" t="str">
        <f t="shared" si="5"/>
        <v>Cobalt</v>
      </c>
    </row>
    <row r="30" spans="1:28" s="170" customFormat="1" ht="20.399999999999999">
      <c r="A30" s="155" t="s">
        <v>110</v>
      </c>
      <c r="B30" s="304" t="s">
        <v>40</v>
      </c>
      <c r="C30" s="152" t="s">
        <v>109</v>
      </c>
      <c r="D30" s="149"/>
      <c r="E30" s="149" t="s">
        <v>65</v>
      </c>
      <c r="F30" s="149" t="s">
        <v>110</v>
      </c>
      <c r="G30" s="149" t="s">
        <v>12</v>
      </c>
      <c r="H30" s="206"/>
      <c r="I30" s="207" t="s">
        <v>105</v>
      </c>
      <c r="J30" s="207" t="s">
        <v>106</v>
      </c>
      <c r="K30" s="150"/>
      <c r="L30" s="150"/>
      <c r="M30" s="150"/>
      <c r="N30" s="150"/>
      <c r="O30" s="150"/>
      <c r="P30" s="209"/>
      <c r="Q30" s="151"/>
      <c r="R30" s="149" t="str">
        <f ca="1">IF(ISERROR($V30),"",OFFSET('Smelter Look-up'!$C$4,$V30-4,0)&amp;"")</f>
        <v>Ganzhou Tengyuan Cobalt New Material Co., Ltd.</v>
      </c>
      <c r="S30" s="155" t="str">
        <f t="shared" ca="1" si="3"/>
        <v>CN</v>
      </c>
      <c r="T30" s="155" t="str">
        <f ca="1">IF(B30="","",IF(ISERROR(MATCH($J30,SorP!$B$1:$B$6226,0)),"",INDIRECT("'SorP'!$A$"&amp;MATCH($S30&amp;$J30,SorP!C:C,0))))</f>
        <v>CN-JX</v>
      </c>
      <c r="U30" s="168"/>
      <c r="V30" s="169">
        <f>IF(C30="",NA(),MATCH($B30&amp;$C30,'Smelter Look-up'!$J:$J,0))</f>
        <v>35</v>
      </c>
      <c r="X30" s="170">
        <f t="shared" si="4"/>
        <v>0</v>
      </c>
      <c r="AB30" s="314" t="str">
        <f t="shared" si="5"/>
        <v>Cobalt</v>
      </c>
    </row>
    <row r="31" spans="1:28" s="170" customFormat="1" ht="20.399999999999999">
      <c r="A31" s="155" t="s">
        <v>112</v>
      </c>
      <c r="B31" s="304" t="s">
        <v>40</v>
      </c>
      <c r="C31" s="152" t="s">
        <v>111</v>
      </c>
      <c r="D31" s="149"/>
      <c r="E31" s="149" t="s">
        <v>65</v>
      </c>
      <c r="F31" s="149" t="s">
        <v>112</v>
      </c>
      <c r="G31" s="149" t="s">
        <v>12</v>
      </c>
      <c r="H31" s="206"/>
      <c r="I31" s="207" t="s">
        <v>113</v>
      </c>
      <c r="J31" s="207" t="s">
        <v>114</v>
      </c>
      <c r="K31" s="150"/>
      <c r="L31" s="150"/>
      <c r="M31" s="150"/>
      <c r="N31" s="150"/>
      <c r="O31" s="150"/>
      <c r="P31" s="209"/>
      <c r="Q31" s="151"/>
      <c r="R31" s="149" t="str">
        <f ca="1">IF(ISERROR($V31),"",OFFSET('Smelter Look-up'!$C$4,$V31-4,0)&amp;"")</f>
        <v>Gem (Jiangsu) Cobalt Industry Co., Ltd.</v>
      </c>
      <c r="S31" s="155" t="str">
        <f t="shared" ca="1" si="3"/>
        <v>CN</v>
      </c>
      <c r="T31" s="155" t="str">
        <f ca="1">IF(B31="","",IF(ISERROR(MATCH($J31,SorP!$B$1:$B$6226,0)),"",INDIRECT("'SorP'!$A$"&amp;MATCH($S31&amp;$J31,SorP!C:C,0))))</f>
        <v>CN-JS</v>
      </c>
      <c r="U31" s="168"/>
      <c r="V31" s="169">
        <f>IF(C31="",NA(),MATCH($B31&amp;$C31,'Smelter Look-up'!$J:$J,0))</f>
        <v>36</v>
      </c>
      <c r="X31" s="170">
        <f t="shared" si="4"/>
        <v>0</v>
      </c>
      <c r="AB31" s="314" t="str">
        <f t="shared" si="5"/>
        <v>Cobalt</v>
      </c>
    </row>
    <row r="32" spans="1:28" s="170" customFormat="1" ht="20.399999999999999">
      <c r="A32" s="155" t="s">
        <v>120</v>
      </c>
      <c r="B32" s="304" t="s">
        <v>40</v>
      </c>
      <c r="C32" s="152" t="s">
        <v>119</v>
      </c>
      <c r="D32" s="149"/>
      <c r="E32" s="149" t="s">
        <v>65</v>
      </c>
      <c r="F32" s="149" t="s">
        <v>120</v>
      </c>
      <c r="G32" s="149" t="s">
        <v>12</v>
      </c>
      <c r="H32" s="206"/>
      <c r="I32" s="207" t="s">
        <v>121</v>
      </c>
      <c r="J32" s="207" t="s">
        <v>122</v>
      </c>
      <c r="K32" s="150"/>
      <c r="L32" s="150"/>
      <c r="M32" s="150"/>
      <c r="N32" s="150"/>
      <c r="O32" s="150"/>
      <c r="P32" s="209"/>
      <c r="Q32" s="151"/>
      <c r="R32" s="149" t="str">
        <f ca="1">IF(ISERROR($V32),"",OFFSET('Smelter Look-up'!$C$4,$V32-4,0)&amp;"")</f>
        <v>Guangdong Jiana Energy Technology Co., Ltd.</v>
      </c>
      <c r="S32" s="155" t="str">
        <f t="shared" ca="1" si="3"/>
        <v>CN</v>
      </c>
      <c r="T32" s="155" t="str">
        <f ca="1">IF(B32="","",IF(ISERROR(MATCH($J32,SorP!$B$1:$B$6226,0)),"",INDIRECT("'SorP'!$A$"&amp;MATCH($S32&amp;$J32,SorP!C:C,0))))</f>
        <v>CN-GD</v>
      </c>
      <c r="U32" s="168"/>
      <c r="V32" s="169">
        <f>IF(C32="",NA(),MATCH($B32&amp;$C32,'Smelter Look-up'!$J:$J,0))</f>
        <v>40</v>
      </c>
      <c r="X32" s="170">
        <f t="shared" si="4"/>
        <v>0</v>
      </c>
      <c r="AB32" s="314" t="str">
        <f t="shared" si="5"/>
        <v>Cobalt</v>
      </c>
    </row>
    <row r="33" spans="1:28" s="170" customFormat="1" ht="25.2">
      <c r="A33" s="155" t="s">
        <v>12251</v>
      </c>
      <c r="B33" s="304" t="s">
        <v>40</v>
      </c>
      <c r="C33" s="152" t="s">
        <v>12250</v>
      </c>
      <c r="D33" s="149"/>
      <c r="E33" s="149" t="s">
        <v>65</v>
      </c>
      <c r="F33" s="149" t="s">
        <v>12251</v>
      </c>
      <c r="G33" s="149" t="s">
        <v>12</v>
      </c>
      <c r="H33" s="206"/>
      <c r="I33" s="207" t="s">
        <v>12252</v>
      </c>
      <c r="J33" s="207" t="s">
        <v>126</v>
      </c>
      <c r="K33" s="150"/>
      <c r="L33" s="150"/>
      <c r="M33" s="150"/>
      <c r="N33" s="150"/>
      <c r="O33" s="150"/>
      <c r="P33" s="209"/>
      <c r="Q33" s="151"/>
      <c r="R33" s="149" t="str">
        <f ca="1">IF(ISERROR($V33),"",OFFSET('Smelter Look-up'!$C$4,$V33-4,0)&amp;"")</f>
        <v>Guangxi CNGR New Energy Science &amp; Technology Co., Ltd.</v>
      </c>
      <c r="S33" s="155" t="str">
        <f t="shared" ca="1" si="3"/>
        <v>CN</v>
      </c>
      <c r="T33" s="155" t="str">
        <f ca="1">IF(B33="","",IF(ISERROR(MATCH($J33,SorP!$B$1:$B$6226,0)),"",INDIRECT("'SorP'!$A$"&amp;MATCH($S33&amp;$J33,SorP!C:C,0))))</f>
        <v>CN-GX</v>
      </c>
      <c r="U33" s="168"/>
      <c r="V33" s="169">
        <f>IF(C33="",NA(),MATCH($B33&amp;$C33,'Smelter Look-up'!$J:$J,0))</f>
        <v>41</v>
      </c>
      <c r="X33" s="170">
        <f t="shared" si="4"/>
        <v>0</v>
      </c>
      <c r="AB33" s="314" t="str">
        <f t="shared" si="5"/>
        <v>Cobalt</v>
      </c>
    </row>
    <row r="34" spans="1:28" s="170" customFormat="1" ht="25.2">
      <c r="A34" s="155" t="s">
        <v>124</v>
      </c>
      <c r="B34" s="304" t="s">
        <v>40</v>
      </c>
      <c r="C34" s="152" t="s">
        <v>123</v>
      </c>
      <c r="D34" s="149"/>
      <c r="E34" s="149" t="s">
        <v>65</v>
      </c>
      <c r="F34" s="149" t="s">
        <v>124</v>
      </c>
      <c r="G34" s="149" t="s">
        <v>12</v>
      </c>
      <c r="H34" s="206"/>
      <c r="I34" s="207" t="s">
        <v>125</v>
      </c>
      <c r="J34" s="207" t="s">
        <v>126</v>
      </c>
      <c r="K34" s="150"/>
      <c r="L34" s="150"/>
      <c r="M34" s="150"/>
      <c r="N34" s="150"/>
      <c r="O34" s="150"/>
      <c r="P34" s="209"/>
      <c r="Q34" s="151"/>
      <c r="R34" s="149" t="str">
        <f ca="1">IF(ISERROR($V34),"",OFFSET('Smelter Look-up'!$C$4,$V34-4,0)&amp;"")</f>
        <v>Guangxi Yinyi Advanced Material Co., Ltd.</v>
      </c>
      <c r="S34" s="155" t="str">
        <f t="shared" ca="1" si="3"/>
        <v>CN</v>
      </c>
      <c r="T34" s="155" t="str">
        <f ca="1">IF(B34="","",IF(ISERROR(MATCH($J34,SorP!$B$1:$B$6226,0)),"",INDIRECT("'SorP'!$A$"&amp;MATCH($S34&amp;$J34,SorP!C:C,0))))</f>
        <v>CN-GX</v>
      </c>
      <c r="U34" s="168"/>
      <c r="V34" s="169">
        <f>IF(C34="",NA(),MATCH($B34&amp;$C34,'Smelter Look-up'!$J:$J,0))</f>
        <v>42</v>
      </c>
      <c r="X34" s="170">
        <f t="shared" si="4"/>
        <v>0</v>
      </c>
      <c r="AB34" s="314" t="str">
        <f t="shared" si="5"/>
        <v>Cobalt</v>
      </c>
    </row>
    <row r="35" spans="1:28" s="170" customFormat="1" ht="25.2">
      <c r="A35" s="155" t="s">
        <v>128</v>
      </c>
      <c r="B35" s="304" t="s">
        <v>40</v>
      </c>
      <c r="C35" s="152" t="s">
        <v>127</v>
      </c>
      <c r="D35" s="149"/>
      <c r="E35" s="149" t="s">
        <v>65</v>
      </c>
      <c r="F35" s="149" t="s">
        <v>128</v>
      </c>
      <c r="G35" s="149" t="s">
        <v>12</v>
      </c>
      <c r="H35" s="206"/>
      <c r="I35" s="207" t="s">
        <v>129</v>
      </c>
      <c r="J35" s="207" t="s">
        <v>130</v>
      </c>
      <c r="K35" s="150"/>
      <c r="L35" s="150"/>
      <c r="M35" s="150"/>
      <c r="N35" s="150"/>
      <c r="O35" s="150"/>
      <c r="P35" s="209"/>
      <c r="Q35" s="151"/>
      <c r="R35" s="149" t="str">
        <f ca="1">IF(ISERROR($V35),"",OFFSET('Smelter Look-up'!$C$4,$V35-4,0)&amp;"")</f>
        <v>Guizhou CNGR Resource Recycling Industry Development Co., Ltd.</v>
      </c>
      <c r="S35" s="155" t="str">
        <f t="shared" ca="1" si="3"/>
        <v>CN</v>
      </c>
      <c r="T35" s="155" t="str">
        <f ca="1">IF(B35="","",IF(ISERROR(MATCH($J35,SorP!$B$1:$B$6226,0)),"",INDIRECT("'SorP'!$A$"&amp;MATCH($S35&amp;$J35,SorP!C:C,0))))</f>
        <v>CN-GZ</v>
      </c>
      <c r="U35" s="168"/>
      <c r="V35" s="169">
        <f>IF(C35="",NA(),MATCH($B35&amp;$C35,'Smelter Look-up'!$J:$J,0))</f>
        <v>43</v>
      </c>
      <c r="X35" s="170">
        <f t="shared" si="4"/>
        <v>0</v>
      </c>
      <c r="AB35" s="314" t="str">
        <f t="shared" si="5"/>
        <v>Cobalt</v>
      </c>
    </row>
    <row r="36" spans="1:28" s="170" customFormat="1" ht="20.399999999999999">
      <c r="A36" s="155" t="s">
        <v>12198</v>
      </c>
      <c r="B36" s="304" t="s">
        <v>40</v>
      </c>
      <c r="C36" s="152" t="s">
        <v>12197</v>
      </c>
      <c r="D36" s="149"/>
      <c r="E36" s="149" t="s">
        <v>65</v>
      </c>
      <c r="F36" s="149" t="s">
        <v>12198</v>
      </c>
      <c r="G36" s="149" t="s">
        <v>12</v>
      </c>
      <c r="H36" s="206"/>
      <c r="I36" s="207" t="s">
        <v>129</v>
      </c>
      <c r="J36" s="207" t="s">
        <v>130</v>
      </c>
      <c r="K36" s="150"/>
      <c r="L36" s="150"/>
      <c r="M36" s="150"/>
      <c r="N36" s="150"/>
      <c r="O36" s="150"/>
      <c r="P36" s="209"/>
      <c r="Q36" s="151"/>
      <c r="R36" s="149" t="str">
        <f ca="1">IF(ISERROR($V36),"",OFFSET('Smelter Look-up'!$C$4,$V36-4,0)&amp;"")</f>
        <v>Guizhou Red Star Electronic Material Co., Ltd.</v>
      </c>
      <c r="S36" s="155" t="str">
        <f t="shared" ca="1" si="3"/>
        <v>CN</v>
      </c>
      <c r="T36" s="155" t="str">
        <f ca="1">IF(B36="","",IF(ISERROR(MATCH($J36,SorP!$B$1:$B$6226,0)),"",INDIRECT("'SorP'!$A$"&amp;MATCH($S36&amp;$J36,SorP!C:C,0))))</f>
        <v>CN-GZ</v>
      </c>
      <c r="U36" s="168"/>
      <c r="V36" s="169">
        <f>IF(C36="",NA(),MATCH($B36&amp;$C36,'Smelter Look-up'!$J:$J,0))</f>
        <v>44</v>
      </c>
      <c r="X36" s="170">
        <f t="shared" si="4"/>
        <v>0</v>
      </c>
      <c r="AB36" s="314" t="str">
        <f t="shared" si="5"/>
        <v>Cobalt</v>
      </c>
    </row>
    <row r="37" spans="1:28" s="170" customFormat="1" ht="20.399999999999999">
      <c r="A37" s="155" t="s">
        <v>134</v>
      </c>
      <c r="B37" s="304" t="s">
        <v>40</v>
      </c>
      <c r="C37" s="152" t="s">
        <v>132</v>
      </c>
      <c r="D37" s="149"/>
      <c r="E37" s="149" t="s">
        <v>133</v>
      </c>
      <c r="F37" s="149" t="s">
        <v>134</v>
      </c>
      <c r="G37" s="149" t="s">
        <v>12</v>
      </c>
      <c r="H37" s="206"/>
      <c r="I37" s="207" t="s">
        <v>135</v>
      </c>
      <c r="J37" s="207" t="s">
        <v>136</v>
      </c>
      <c r="K37" s="150"/>
      <c r="L37" s="150"/>
      <c r="M37" s="150"/>
      <c r="N37" s="150"/>
      <c r="O37" s="150"/>
      <c r="P37" s="209"/>
      <c r="Q37" s="151"/>
      <c r="R37" s="149" t="str">
        <f ca="1">IF(ISERROR($V37),"",OFFSET('Smelter Look-up'!$C$4,$V37-4,0)&amp;"")</f>
        <v>Harima Refinery, Sumitomo Metal Mining</v>
      </c>
      <c r="S37" s="155" t="str">
        <f t="shared" ca="1" si="3"/>
        <v>JP</v>
      </c>
      <c r="T37" s="155" t="str">
        <f ca="1">IF(B37="","",IF(ISERROR(MATCH($J37,SorP!$B$1:$B$6226,0)),"",INDIRECT("'SorP'!$A$"&amp;MATCH($S37&amp;$J37,SorP!C:C,0))))</f>
        <v>JP-28</v>
      </c>
      <c r="U37" s="168"/>
      <c r="V37" s="169">
        <f>IF(C37="",NA(),MATCH($B37&amp;$C37,'Smelter Look-up'!$J:$J,0))</f>
        <v>46</v>
      </c>
      <c r="X37" s="170">
        <f t="shared" si="4"/>
        <v>0</v>
      </c>
      <c r="AB37" s="314" t="str">
        <f t="shared" si="5"/>
        <v>Cobalt</v>
      </c>
    </row>
    <row r="38" spans="1:28" s="170" customFormat="1" ht="20.399999999999999">
      <c r="A38" s="155" t="s">
        <v>141</v>
      </c>
      <c r="B38" s="304" t="s">
        <v>40</v>
      </c>
      <c r="C38" s="152" t="s">
        <v>140</v>
      </c>
      <c r="D38" s="149"/>
      <c r="E38" s="149" t="s">
        <v>65</v>
      </c>
      <c r="F38" s="149" t="s">
        <v>141</v>
      </c>
      <c r="G38" s="149" t="s">
        <v>12</v>
      </c>
      <c r="H38" s="206"/>
      <c r="I38" s="207" t="s">
        <v>142</v>
      </c>
      <c r="J38" s="207" t="s">
        <v>143</v>
      </c>
      <c r="K38" s="150"/>
      <c r="L38" s="150"/>
      <c r="M38" s="150"/>
      <c r="N38" s="150"/>
      <c r="O38" s="150"/>
      <c r="P38" s="209"/>
      <c r="Q38" s="151"/>
      <c r="R38" s="149" t="str">
        <f ca="1">IF(ISERROR($V38),"",OFFSET('Smelter Look-up'!$C$4,$V38-4,0)&amp;"")</f>
        <v>Hunan Brunp Recycling Technology Co., Ltd.</v>
      </c>
      <c r="S38" s="155" t="str">
        <f t="shared" ca="1" si="3"/>
        <v>CN</v>
      </c>
      <c r="T38" s="155" t="str">
        <f ca="1">IF(B38="","",IF(ISERROR(MATCH($J38,SorP!$B$1:$B$6226,0)),"",INDIRECT("'SorP'!$A$"&amp;MATCH($S38&amp;$J38,SorP!C:C,0))))</f>
        <v>CN-HN</v>
      </c>
      <c r="U38" s="168"/>
      <c r="V38" s="169">
        <f>IF(C38="",NA(),MATCH($B38&amp;$C38,'Smelter Look-up'!$J:$J,0))</f>
        <v>48</v>
      </c>
      <c r="X38" s="170">
        <f t="shared" si="4"/>
        <v>0</v>
      </c>
      <c r="AB38" s="314" t="str">
        <f t="shared" si="5"/>
        <v>Cobalt</v>
      </c>
    </row>
    <row r="39" spans="1:28" s="170" customFormat="1" ht="25.2">
      <c r="A39" s="155" t="s">
        <v>145</v>
      </c>
      <c r="B39" s="304" t="s">
        <v>40</v>
      </c>
      <c r="C39" s="152" t="s">
        <v>144</v>
      </c>
      <c r="D39" s="149"/>
      <c r="E39" s="149" t="s">
        <v>65</v>
      </c>
      <c r="F39" s="149" t="s">
        <v>145</v>
      </c>
      <c r="G39" s="149" t="s">
        <v>12</v>
      </c>
      <c r="H39" s="206"/>
      <c r="I39" s="207" t="s">
        <v>142</v>
      </c>
      <c r="J39" s="207" t="s">
        <v>143</v>
      </c>
      <c r="K39" s="150"/>
      <c r="L39" s="150"/>
      <c r="M39" s="150"/>
      <c r="N39" s="150"/>
      <c r="O39" s="150"/>
      <c r="P39" s="209"/>
      <c r="Q39" s="151"/>
      <c r="R39" s="149" t="str">
        <f ca="1">IF(ISERROR($V39),"",OFFSET('Smelter Look-up'!$C$4,$V39-4,0)&amp;"")</f>
        <v>Hunan CNGR New Energy Science &amp; Technology Co., Ltd.</v>
      </c>
      <c r="S39" s="155" t="str">
        <f t="shared" ca="1" si="3"/>
        <v>CN</v>
      </c>
      <c r="T39" s="155" t="str">
        <f ca="1">IF(B39="","",IF(ISERROR(MATCH($J39,SorP!$B$1:$B$6226,0)),"",INDIRECT("'SorP'!$A$"&amp;MATCH($S39&amp;$J39,SorP!C:C,0))))</f>
        <v>CN-HN</v>
      </c>
      <c r="U39" s="168"/>
      <c r="V39" s="169">
        <f>IF(C39="",NA(),MATCH($B39&amp;$C39,'Smelter Look-up'!$J:$J,0))</f>
        <v>49</v>
      </c>
      <c r="X39" s="170">
        <f t="shared" si="4"/>
        <v>0</v>
      </c>
      <c r="AB39" s="314" t="str">
        <f t="shared" si="5"/>
        <v>Cobalt</v>
      </c>
    </row>
    <row r="40" spans="1:28" s="170" customFormat="1" ht="20.399999999999999">
      <c r="A40" s="155" t="s">
        <v>153</v>
      </c>
      <c r="B40" s="304" t="s">
        <v>40</v>
      </c>
      <c r="C40" s="152" t="s">
        <v>19165</v>
      </c>
      <c r="D40" s="149"/>
      <c r="E40" s="149" t="s">
        <v>65</v>
      </c>
      <c r="F40" s="149" t="s">
        <v>153</v>
      </c>
      <c r="G40" s="149" t="s">
        <v>12</v>
      </c>
      <c r="H40" s="206"/>
      <c r="I40" s="207" t="s">
        <v>142</v>
      </c>
      <c r="J40" s="207" t="s">
        <v>143</v>
      </c>
      <c r="K40" s="150"/>
      <c r="L40" s="150"/>
      <c r="M40" s="150"/>
      <c r="N40" s="150"/>
      <c r="O40" s="150"/>
      <c r="P40" s="209"/>
      <c r="Q40" s="151"/>
      <c r="R40" s="149" t="str">
        <f ca="1">IF(ISERROR($V40),"",OFFSET('Smelter Look-up'!$C$4,$V40-4,0)&amp;"")</f>
        <v>Hunan Yacheng New Energy Co., Ltd.</v>
      </c>
      <c r="S40" s="155" t="str">
        <f t="shared" ca="1" si="3"/>
        <v>CN</v>
      </c>
      <c r="T40" s="155" t="str">
        <f ca="1">IF(B40="","",IF(ISERROR(MATCH($J40,SorP!$B$1:$B$6226,0)),"",INDIRECT("'SorP'!$A$"&amp;MATCH($S40&amp;$J40,SorP!C:C,0))))</f>
        <v>CN-HN</v>
      </c>
      <c r="U40" s="168"/>
      <c r="V40" s="169">
        <f>IF(C40="",NA(),MATCH($B40&amp;$C40,'Smelter Look-up'!$J:$J,0))</f>
        <v>54</v>
      </c>
      <c r="X40" s="170">
        <f t="shared" si="4"/>
        <v>0</v>
      </c>
      <c r="AB40" s="314" t="str">
        <f t="shared" si="5"/>
        <v>Cobalt</v>
      </c>
    </row>
    <row r="41" spans="1:28" s="170" customFormat="1" ht="37.799999999999997">
      <c r="A41" s="155" t="s">
        <v>157</v>
      </c>
      <c r="B41" s="304" t="s">
        <v>40</v>
      </c>
      <c r="C41" s="152" t="s">
        <v>155</v>
      </c>
      <c r="D41" s="149"/>
      <c r="E41" s="149" t="s">
        <v>156</v>
      </c>
      <c r="F41" s="149" t="s">
        <v>157</v>
      </c>
      <c r="G41" s="149" t="s">
        <v>12</v>
      </c>
      <c r="H41" s="206"/>
      <c r="I41" s="207" t="s">
        <v>158</v>
      </c>
      <c r="J41" s="207" t="s">
        <v>159</v>
      </c>
      <c r="K41" s="150"/>
      <c r="L41" s="150"/>
      <c r="M41" s="150"/>
      <c r="N41" s="150"/>
      <c r="O41" s="150"/>
      <c r="P41" s="209"/>
      <c r="Q41" s="151"/>
      <c r="R41" s="149" t="str">
        <f ca="1">IF(ISERROR($V41),"",OFFSET('Smelter Look-up'!$C$4,$V41-4,0)&amp;"")</f>
        <v>ICoNiChem</v>
      </c>
      <c r="S41" s="155" t="str">
        <f t="shared" ca="1" si="3"/>
        <v>GB</v>
      </c>
      <c r="T41" s="155" t="str">
        <f ca="1">IF(B41="","",IF(ISERROR(MATCH($J41,SorP!$B$1:$B$6226,0)),"",INDIRECT("'SorP'!$A$"&amp;MATCH($S41&amp;$J41,SorP!C:C,0))))</f>
        <v>GB-CHW</v>
      </c>
      <c r="U41" s="168"/>
      <c r="V41" s="169">
        <f>IF(C41="",NA(),MATCH($B41&amp;$C41,'Smelter Look-up'!$J:$J,0))</f>
        <v>57</v>
      </c>
      <c r="X41" s="170">
        <f t="shared" si="4"/>
        <v>0</v>
      </c>
      <c r="AB41" s="314" t="str">
        <f t="shared" si="5"/>
        <v>Cobalt</v>
      </c>
    </row>
    <row r="42" spans="1:28" s="170" customFormat="1" ht="20.399999999999999">
      <c r="A42" s="155" t="s">
        <v>12254</v>
      </c>
      <c r="B42" s="304" t="s">
        <v>40</v>
      </c>
      <c r="C42" s="152" t="s">
        <v>18697</v>
      </c>
      <c r="D42" s="149"/>
      <c r="E42" s="149" t="s">
        <v>1706</v>
      </c>
      <c r="F42" s="149" t="s">
        <v>12254</v>
      </c>
      <c r="G42" s="149" t="s">
        <v>12</v>
      </c>
      <c r="H42" s="206"/>
      <c r="I42" s="207" t="s">
        <v>12255</v>
      </c>
      <c r="J42" s="207" t="s">
        <v>11966</v>
      </c>
      <c r="K42" s="150"/>
      <c r="L42" s="150"/>
      <c r="M42" s="150"/>
      <c r="N42" s="150"/>
      <c r="O42" s="150"/>
      <c r="P42" s="209"/>
      <c r="Q42" s="151"/>
      <c r="R42" s="149" t="str">
        <f ca="1">IF(ISERROR($V42),"",OFFSET('Smelter Look-up'!$C$4,$V42-4,0)&amp;"")</f>
        <v>Impala Platinum - Base Metal Refinery (BMR)</v>
      </c>
      <c r="S42" s="155" t="str">
        <f t="shared" ca="1" si="3"/>
        <v>ZA</v>
      </c>
      <c r="T42" s="155" t="str">
        <f ca="1">IF(B42="","",IF(ISERROR(MATCH($J42,SorP!$B$1:$B$6226,0)),"",INDIRECT("'SorP'!$A$"&amp;MATCH($S42&amp;$J42,SorP!C:C,0))))</f>
        <v>ZA-GP</v>
      </c>
      <c r="U42" s="168"/>
      <c r="V42" s="169">
        <f>IF(C42="",NA(),MATCH($B42&amp;$C42,'Smelter Look-up'!$J:$J,0))</f>
        <v>58</v>
      </c>
      <c r="X42" s="170">
        <f t="shared" si="4"/>
        <v>0</v>
      </c>
      <c r="AB42" s="314" t="str">
        <f t="shared" si="5"/>
        <v>Cobalt</v>
      </c>
    </row>
    <row r="43" spans="1:28" s="170" customFormat="1" ht="20.399999999999999">
      <c r="A43" s="155" t="s">
        <v>12257</v>
      </c>
      <c r="B43" s="304" t="s">
        <v>40</v>
      </c>
      <c r="C43" s="152" t="s">
        <v>18699</v>
      </c>
      <c r="D43" s="149"/>
      <c r="E43" s="149" t="s">
        <v>1706</v>
      </c>
      <c r="F43" s="149" t="s">
        <v>12257</v>
      </c>
      <c r="G43" s="149" t="s">
        <v>12</v>
      </c>
      <c r="H43" s="206"/>
      <c r="I43" s="207" t="s">
        <v>12258</v>
      </c>
      <c r="J43" s="207" t="s">
        <v>3157</v>
      </c>
      <c r="K43" s="150"/>
      <c r="L43" s="150"/>
      <c r="M43" s="150"/>
      <c r="N43" s="150"/>
      <c r="O43" s="150"/>
      <c r="P43" s="209"/>
      <c r="Q43" s="151"/>
      <c r="R43" s="149" t="str">
        <f ca="1">IF(ISERROR($V43),"",OFFSET('Smelter Look-up'!$C$4,$V43-4,0)&amp;"")</f>
        <v>Impala Platinum - Rustenburg Smelter</v>
      </c>
      <c r="S43" s="155" t="str">
        <f t="shared" ca="1" si="3"/>
        <v>ZA</v>
      </c>
      <c r="T43" s="155" t="str">
        <f ca="1">IF(B43="","",IF(ISERROR(MATCH($J43,SorP!$B$1:$B$6226,0)),"",INDIRECT("'SorP'!$A$"&amp;MATCH($S43&amp;$J43,SorP!C:C,0))))</f>
        <v>ZA-NW</v>
      </c>
      <c r="U43" s="168"/>
      <c r="V43" s="169">
        <f>IF(C43="",NA(),MATCH($B43&amp;$C43,'Smelter Look-up'!$J:$J,0))</f>
        <v>59</v>
      </c>
      <c r="X43" s="170">
        <f t="shared" si="4"/>
        <v>0</v>
      </c>
      <c r="AB43" s="314" t="str">
        <f t="shared" si="5"/>
        <v>Cobalt</v>
      </c>
    </row>
    <row r="44" spans="1:28" s="170" customFormat="1" ht="20.399999999999999">
      <c r="A44" s="155" t="s">
        <v>12261</v>
      </c>
      <c r="B44" s="304" t="s">
        <v>40</v>
      </c>
      <c r="C44" s="152" t="s">
        <v>12260</v>
      </c>
      <c r="D44" s="149"/>
      <c r="E44" s="149" t="s">
        <v>65</v>
      </c>
      <c r="F44" s="149" t="s">
        <v>12261</v>
      </c>
      <c r="G44" s="149" t="s">
        <v>12</v>
      </c>
      <c r="H44" s="206"/>
      <c r="I44" s="207" t="s">
        <v>12262</v>
      </c>
      <c r="J44" s="207" t="s">
        <v>122</v>
      </c>
      <c r="K44" s="150"/>
      <c r="L44" s="150"/>
      <c r="M44" s="150"/>
      <c r="N44" s="150"/>
      <c r="O44" s="150"/>
      <c r="P44" s="209"/>
      <c r="Q44" s="151"/>
      <c r="R44" s="149" t="str">
        <f ca="1">IF(ISERROR($V44),"",OFFSET('Smelter Look-up'!$C$4,$V44-4,0)&amp;"")</f>
        <v>Jiangmen Chancsun Umicore Industry Co.,Ltd</v>
      </c>
      <c r="S44" s="155" t="str">
        <f t="shared" ca="1" si="3"/>
        <v>CN</v>
      </c>
      <c r="T44" s="155" t="str">
        <f ca="1">IF(B44="","",IF(ISERROR(MATCH($J44,SorP!$B$1:$B$6226,0)),"",INDIRECT("'SorP'!$A$"&amp;MATCH($S44&amp;$J44,SorP!C:C,0))))</f>
        <v>CN-GD</v>
      </c>
      <c r="U44" s="168"/>
      <c r="V44" s="169">
        <f>IF(C44="",NA(),MATCH($B44&amp;$C44,'Smelter Look-up'!$J:$J,0))</f>
        <v>65</v>
      </c>
      <c r="X44" s="170">
        <f t="shared" si="4"/>
        <v>0</v>
      </c>
      <c r="AB44" s="314" t="str">
        <f t="shared" si="5"/>
        <v>Cobalt</v>
      </c>
    </row>
    <row r="45" spans="1:28" s="170" customFormat="1" ht="20.399999999999999">
      <c r="A45" s="155" t="s">
        <v>164</v>
      </c>
      <c r="B45" s="304" t="s">
        <v>40</v>
      </c>
      <c r="C45" s="152" t="s">
        <v>163</v>
      </c>
      <c r="D45" s="149"/>
      <c r="E45" s="149" t="s">
        <v>65</v>
      </c>
      <c r="F45" s="149" t="s">
        <v>164</v>
      </c>
      <c r="G45" s="149" t="s">
        <v>12</v>
      </c>
      <c r="H45" s="206"/>
      <c r="I45" s="207" t="s">
        <v>165</v>
      </c>
      <c r="J45" s="207" t="s">
        <v>114</v>
      </c>
      <c r="K45" s="150"/>
      <c r="L45" s="150"/>
      <c r="M45" s="150"/>
      <c r="N45" s="150"/>
      <c r="O45" s="150"/>
      <c r="P45" s="209"/>
      <c r="Q45" s="151"/>
      <c r="R45" s="149" t="str">
        <f ca="1">IF(ISERROR($V45),"",OFFSET('Smelter Look-up'!$C$4,$V45-4,0)&amp;"")</f>
        <v>Jiangsu Xiongfeng Technology Co., Ltd.</v>
      </c>
      <c r="S45" s="155" t="str">
        <f t="shared" ca="1" si="3"/>
        <v>CN</v>
      </c>
      <c r="T45" s="155" t="str">
        <f ca="1">IF(B45="","",IF(ISERROR(MATCH($J45,SorP!$B$1:$B$6226,0)),"",INDIRECT("'SorP'!$A$"&amp;MATCH($S45&amp;$J45,SorP!C:C,0))))</f>
        <v>CN-JS</v>
      </c>
      <c r="U45" s="168"/>
      <c r="V45" s="169">
        <f>IF(C45="",NA(),MATCH($B45&amp;$C45,'Smelter Look-up'!$J:$J,0))</f>
        <v>68</v>
      </c>
      <c r="X45" s="170">
        <f t="shared" si="4"/>
        <v>0</v>
      </c>
      <c r="AB45" s="314" t="str">
        <f t="shared" si="5"/>
        <v>Cobalt</v>
      </c>
    </row>
    <row r="46" spans="1:28" s="170" customFormat="1" ht="20.399999999999999">
      <c r="A46" s="155" t="s">
        <v>166</v>
      </c>
      <c r="B46" s="304" t="s">
        <v>40</v>
      </c>
      <c r="C46" s="152" t="s">
        <v>12263</v>
      </c>
      <c r="D46" s="149"/>
      <c r="E46" s="149" t="s">
        <v>65</v>
      </c>
      <c r="F46" s="149" t="s">
        <v>166</v>
      </c>
      <c r="G46" s="149" t="s">
        <v>12</v>
      </c>
      <c r="H46" s="206"/>
      <c r="I46" s="207" t="s">
        <v>105</v>
      </c>
      <c r="J46" s="207" t="s">
        <v>106</v>
      </c>
      <c r="K46" s="150"/>
      <c r="L46" s="150"/>
      <c r="M46" s="150"/>
      <c r="N46" s="150"/>
      <c r="O46" s="150"/>
      <c r="P46" s="209"/>
      <c r="Q46" s="151"/>
      <c r="R46" s="149" t="str">
        <f ca="1">IF(ISERROR($V46),"",OFFSET('Smelter Look-up'!$C$4,$V46-4,0)&amp;"")</f>
        <v>Jiangxi Jiangwu Cobalt Industrial Co., Ltd.</v>
      </c>
      <c r="S46" s="155" t="str">
        <f t="shared" ca="1" si="3"/>
        <v>CN</v>
      </c>
      <c r="T46" s="155" t="str">
        <f ca="1">IF(B46="","",IF(ISERROR(MATCH($J46,SorP!$B$1:$B$6226,0)),"",INDIRECT("'SorP'!$A$"&amp;MATCH($S46&amp;$J46,SorP!C:C,0))))</f>
        <v>CN-JX</v>
      </c>
      <c r="U46" s="168"/>
      <c r="V46" s="169">
        <f>IF(C46="",NA(),MATCH($B46&amp;$C46,'Smelter Look-up'!$J:$J,0))</f>
        <v>69</v>
      </c>
      <c r="X46" s="170">
        <f t="shared" si="4"/>
        <v>0</v>
      </c>
      <c r="AB46" s="314" t="str">
        <f t="shared" si="5"/>
        <v>Cobalt</v>
      </c>
    </row>
    <row r="47" spans="1:28" s="170" customFormat="1" ht="20.399999999999999">
      <c r="A47" s="155" t="s">
        <v>12051</v>
      </c>
      <c r="B47" s="304" t="s">
        <v>40</v>
      </c>
      <c r="C47" s="152" t="s">
        <v>12052</v>
      </c>
      <c r="D47" s="149"/>
      <c r="E47" s="149" t="s">
        <v>65</v>
      </c>
      <c r="F47" s="149" t="s">
        <v>12051</v>
      </c>
      <c r="G47" s="149" t="s">
        <v>12</v>
      </c>
      <c r="H47" s="206"/>
      <c r="I47" s="207" t="s">
        <v>12053</v>
      </c>
      <c r="J47" s="207" t="s">
        <v>106</v>
      </c>
      <c r="K47" s="150"/>
      <c r="L47" s="150"/>
      <c r="M47" s="150"/>
      <c r="N47" s="150"/>
      <c r="O47" s="150"/>
      <c r="P47" s="209"/>
      <c r="Q47" s="151"/>
      <c r="R47" s="149" t="str">
        <f ca="1">IF(ISERROR($V47),"",OFFSET('Smelter Look-up'!$C$4,$V47-4,0)&amp;"")</f>
        <v>Jiangxi Miracle Golden Tiger Cobalt Co. Ltd.</v>
      </c>
      <c r="S47" s="155" t="str">
        <f t="shared" ca="1" si="3"/>
        <v>CN</v>
      </c>
      <c r="T47" s="155" t="str">
        <f ca="1">IF(B47="","",IF(ISERROR(MATCH($J47,SorP!$B$1:$B$6226,0)),"",INDIRECT("'SorP'!$A$"&amp;MATCH($S47&amp;$J47,SorP!C:C,0))))</f>
        <v>CN-JX</v>
      </c>
      <c r="U47" s="168"/>
      <c r="V47" s="169">
        <f>IF(C47="",NA(),MATCH($B47&amp;$C47,'Smelter Look-up'!$J:$J,0))</f>
        <v>70</v>
      </c>
      <c r="X47" s="170">
        <f t="shared" si="4"/>
        <v>0</v>
      </c>
      <c r="AB47" s="314" t="str">
        <f t="shared" si="5"/>
        <v>Cobalt</v>
      </c>
    </row>
    <row r="48" spans="1:28" s="170" customFormat="1" ht="20.399999999999999">
      <c r="A48" s="155" t="s">
        <v>12265</v>
      </c>
      <c r="B48" s="304" t="s">
        <v>40</v>
      </c>
      <c r="C48" s="152" t="s">
        <v>12264</v>
      </c>
      <c r="D48" s="149"/>
      <c r="E48" s="149" t="s">
        <v>65</v>
      </c>
      <c r="F48" s="149" t="s">
        <v>12265</v>
      </c>
      <c r="G48" s="149" t="s">
        <v>12</v>
      </c>
      <c r="H48" s="206"/>
      <c r="I48" s="207" t="s">
        <v>12266</v>
      </c>
      <c r="J48" s="207" t="s">
        <v>106</v>
      </c>
      <c r="K48" s="150"/>
      <c r="L48" s="150"/>
      <c r="M48" s="150"/>
      <c r="N48" s="150"/>
      <c r="O48" s="150"/>
      <c r="P48" s="209"/>
      <c r="Q48" s="151"/>
      <c r="R48" s="149" t="str">
        <f ca="1">IF(ISERROR($V48),"",OFFSET('Smelter Look-up'!$C$4,$V48-4,0)&amp;"")</f>
        <v>Jiangxi Ruida New Energy Technology Co., Ltd.</v>
      </c>
      <c r="S48" s="155" t="str">
        <f t="shared" ca="1" si="3"/>
        <v>CN</v>
      </c>
      <c r="T48" s="155" t="str">
        <f ca="1">IF(B48="","",IF(ISERROR(MATCH($J48,SorP!$B$1:$B$6226,0)),"",INDIRECT("'SorP'!$A$"&amp;MATCH($S48&amp;$J48,SorP!C:C,0))))</f>
        <v>CN-JX</v>
      </c>
      <c r="U48" s="168"/>
      <c r="V48" s="169">
        <f>IF(C48="",NA(),MATCH($B48&amp;$C48,'Smelter Look-up'!$J:$J,0))</f>
        <v>72</v>
      </c>
      <c r="X48" s="170">
        <f t="shared" si="4"/>
        <v>0</v>
      </c>
      <c r="AB48" s="314" t="str">
        <f t="shared" si="5"/>
        <v>Cobalt</v>
      </c>
    </row>
    <row r="49" spans="1:28" s="170" customFormat="1" ht="25.2">
      <c r="A49" s="155" t="s">
        <v>19169</v>
      </c>
      <c r="B49" s="304" t="s">
        <v>40</v>
      </c>
      <c r="C49" s="152" t="s">
        <v>19168</v>
      </c>
      <c r="D49" s="149"/>
      <c r="E49" s="149" t="s">
        <v>76</v>
      </c>
      <c r="F49" s="149" t="s">
        <v>19169</v>
      </c>
      <c r="G49" s="149" t="s">
        <v>12</v>
      </c>
      <c r="H49" s="206"/>
      <c r="I49" s="207" t="s">
        <v>19188</v>
      </c>
      <c r="J49" s="207" t="s">
        <v>11134</v>
      </c>
      <c r="K49" s="150"/>
      <c r="L49" s="150"/>
      <c r="M49" s="150"/>
      <c r="N49" s="150"/>
      <c r="O49" s="150"/>
      <c r="P49" s="209"/>
      <c r="Q49" s="151"/>
      <c r="R49" s="149" t="str">
        <f ca="1">IF(ISERROR($V49),"",OFFSET('Smelter Look-up'!$C$4,$V49-4,0)&amp;"")</f>
        <v>Jing Yuan Tungsten Technology Co., Ltd.</v>
      </c>
      <c r="S49" s="155" t="str">
        <f t="shared" ca="1" si="3"/>
        <v>TW</v>
      </c>
      <c r="T49" s="155" t="str">
        <f ca="1">IF(B49="","",IF(ISERROR(MATCH($J49,SorP!$B$1:$B$6226,0)),"",INDIRECT("'SorP'!$A$"&amp;MATCH($S49&amp;$J49,SorP!C:C,0))))</f>
        <v>TW-PIF</v>
      </c>
      <c r="U49" s="168"/>
      <c r="V49" s="169">
        <f>IF(C49="",NA(),MATCH($B49&amp;$C49,'Smelter Look-up'!$J:$J,0))</f>
        <v>73</v>
      </c>
      <c r="X49" s="170">
        <f t="shared" si="4"/>
        <v>0</v>
      </c>
      <c r="AB49" s="314" t="str">
        <f t="shared" si="5"/>
        <v>Cobalt</v>
      </c>
    </row>
    <row r="50" spans="1:28" s="170" customFormat="1" ht="20.399999999999999">
      <c r="A50" s="155" t="s">
        <v>169</v>
      </c>
      <c r="B50" s="304" t="s">
        <v>40</v>
      </c>
      <c r="C50" s="152" t="s">
        <v>168</v>
      </c>
      <c r="D50" s="149"/>
      <c r="E50" s="149" t="s">
        <v>65</v>
      </c>
      <c r="F50" s="149" t="s">
        <v>169</v>
      </c>
      <c r="G50" s="149" t="s">
        <v>12</v>
      </c>
      <c r="H50" s="206"/>
      <c r="I50" s="207" t="s">
        <v>170</v>
      </c>
      <c r="J50" s="207" t="s">
        <v>171</v>
      </c>
      <c r="K50" s="150"/>
      <c r="L50" s="150"/>
      <c r="M50" s="150"/>
      <c r="N50" s="150"/>
      <c r="O50" s="150"/>
      <c r="P50" s="209"/>
      <c r="Q50" s="151"/>
      <c r="R50" s="149" t="str">
        <f ca="1">IF(ISERROR($V50),"",OFFSET('Smelter Look-up'!$C$4,$V50-4,0)&amp;"")</f>
        <v>Jingmen GEM Co., Ltd.</v>
      </c>
      <c r="S50" s="155" t="str">
        <f t="shared" ca="1" si="3"/>
        <v>CN</v>
      </c>
      <c r="T50" s="155" t="str">
        <f ca="1">IF(B50="","",IF(ISERROR(MATCH($J50,SorP!$B$1:$B$6226,0)),"",INDIRECT("'SorP'!$A$"&amp;MATCH($S50&amp;$J50,SorP!C:C,0))))</f>
        <v>CN-HB</v>
      </c>
      <c r="U50" s="168"/>
      <c r="V50" s="169">
        <f>IF(C50="",NA(),MATCH($B50&amp;$C50,'Smelter Look-up'!$J:$J,0))</f>
        <v>74</v>
      </c>
      <c r="X50" s="170">
        <f t="shared" si="4"/>
        <v>0</v>
      </c>
      <c r="AB50" s="314" t="str">
        <f t="shared" si="5"/>
        <v>Cobalt</v>
      </c>
    </row>
    <row r="51" spans="1:28" s="170" customFormat="1" ht="25.2">
      <c r="A51" s="155" t="s">
        <v>178</v>
      </c>
      <c r="B51" s="304" t="s">
        <v>40</v>
      </c>
      <c r="C51" s="152" t="s">
        <v>177</v>
      </c>
      <c r="D51" s="149"/>
      <c r="E51" s="149" t="s">
        <v>60</v>
      </c>
      <c r="F51" s="149" t="s">
        <v>178</v>
      </c>
      <c r="G51" s="149" t="s">
        <v>12</v>
      </c>
      <c r="H51" s="206"/>
      <c r="I51" s="207" t="s">
        <v>179</v>
      </c>
      <c r="J51" s="207" t="s">
        <v>180</v>
      </c>
      <c r="K51" s="150"/>
      <c r="L51" s="150"/>
      <c r="M51" s="150"/>
      <c r="N51" s="150"/>
      <c r="O51" s="150"/>
      <c r="P51" s="209"/>
      <c r="Q51" s="151"/>
      <c r="R51" s="149" t="str">
        <f ca="1">IF(ISERROR($V51),"",OFFSET('Smelter Look-up'!$C$4,$V51-4,0)&amp;"")</f>
        <v>Kamoto Copper Company</v>
      </c>
      <c r="S51" s="155" t="str">
        <f t="shared" ca="1" si="3"/>
        <v>CD</v>
      </c>
      <c r="T51" s="155" t="str">
        <f ca="1">IF(B51="","",IF(ISERROR(MATCH($J51,SorP!$B$1:$B$6226,0)),"",INDIRECT("'SorP'!$A$"&amp;MATCH($S51&amp;$J51,SorP!C:C,0))))</f>
        <v>CD-LU</v>
      </c>
      <c r="U51" s="168"/>
      <c r="V51" s="169">
        <f>IF(C51="",NA(),MATCH($B51&amp;$C51,'Smelter Look-up'!$J:$J,0))</f>
        <v>76</v>
      </c>
      <c r="X51" s="170">
        <f t="shared" si="4"/>
        <v>0</v>
      </c>
      <c r="AB51" s="314" t="str">
        <f t="shared" si="5"/>
        <v>Cobalt</v>
      </c>
    </row>
    <row r="52" spans="1:28" s="170" customFormat="1" ht="25.2">
      <c r="A52" s="155" t="s">
        <v>19171</v>
      </c>
      <c r="B52" s="304" t="s">
        <v>40</v>
      </c>
      <c r="C52" s="152" t="s">
        <v>18710</v>
      </c>
      <c r="D52" s="149"/>
      <c r="E52" s="149" t="s">
        <v>60</v>
      </c>
      <c r="F52" s="149" t="s">
        <v>19171</v>
      </c>
      <c r="G52" s="149" t="s">
        <v>12</v>
      </c>
      <c r="H52" s="206"/>
      <c r="I52" s="207" t="s">
        <v>62</v>
      </c>
      <c r="J52" s="207" t="s">
        <v>63</v>
      </c>
      <c r="K52" s="150"/>
      <c r="L52" s="150"/>
      <c r="M52" s="150"/>
      <c r="N52" s="150"/>
      <c r="O52" s="150"/>
      <c r="P52" s="209"/>
      <c r="Q52" s="151"/>
      <c r="R52" s="149" t="str">
        <f ca="1">IF(ISERROR($V52),"",OFFSET('Smelter Look-up'!$C$4,$V52-4,0)&amp;"")</f>
        <v>MMG Kinsevere SARL</v>
      </c>
      <c r="S52" s="155" t="str">
        <f t="shared" ca="1" si="3"/>
        <v>CD</v>
      </c>
      <c r="T52" s="155" t="str">
        <f ca="1">IF(B52="","",IF(ISERROR(MATCH($J52,SorP!$B$1:$B$6226,0)),"",INDIRECT("'SorP'!$A$"&amp;MATCH($S52&amp;$J52,SorP!C:C,0))))</f>
        <v>CD-HK</v>
      </c>
      <c r="U52" s="168"/>
      <c r="V52" s="169">
        <f>IF(C52="",NA(),MATCH($B52&amp;$C52,'Smelter Look-up'!$J:$J,0))</f>
        <v>108</v>
      </c>
      <c r="X52" s="170">
        <f t="shared" si="4"/>
        <v>0</v>
      </c>
      <c r="AB52" s="314" t="str">
        <f t="shared" si="5"/>
        <v>Cobalt</v>
      </c>
    </row>
    <row r="53" spans="1:28" s="170" customFormat="1" ht="25.2">
      <c r="A53" s="155" t="s">
        <v>12201</v>
      </c>
      <c r="B53" s="304" t="s">
        <v>40</v>
      </c>
      <c r="C53" s="152" t="s">
        <v>12200</v>
      </c>
      <c r="D53" s="149"/>
      <c r="E53" s="149" t="s">
        <v>60</v>
      </c>
      <c r="F53" s="149" t="s">
        <v>12201</v>
      </c>
      <c r="G53" s="149" t="s">
        <v>12</v>
      </c>
      <c r="H53" s="206"/>
      <c r="I53" s="207" t="s">
        <v>179</v>
      </c>
      <c r="J53" s="207" t="s">
        <v>180</v>
      </c>
      <c r="K53" s="150"/>
      <c r="L53" s="150"/>
      <c r="M53" s="150"/>
      <c r="N53" s="150"/>
      <c r="O53" s="150"/>
      <c r="P53" s="209"/>
      <c r="Q53" s="151"/>
      <c r="R53" s="149" t="str">
        <f ca="1">IF(ISERROR($V53),"",OFFSET('Smelter Look-up'!$C$4,$V53-4,0)&amp;"")</f>
        <v>Kisanfu Mining (Kimin)</v>
      </c>
      <c r="S53" s="155" t="str">
        <f t="shared" ca="1" si="3"/>
        <v>CD</v>
      </c>
      <c r="T53" s="155" t="str">
        <f ca="1">IF(B53="","",IF(ISERROR(MATCH($J53,SorP!$B$1:$B$6226,0)),"",INDIRECT("'SorP'!$A$"&amp;MATCH($S53&amp;$J53,SorP!C:C,0))))</f>
        <v>CD-LU</v>
      </c>
      <c r="U53" s="168"/>
      <c r="V53" s="169">
        <f>IF(C53="",NA(),MATCH($B53&amp;$C53,'Smelter Look-up'!$J:$J,0))</f>
        <v>81</v>
      </c>
      <c r="X53" s="170">
        <f t="shared" si="4"/>
        <v>0</v>
      </c>
      <c r="AB53" s="314" t="str">
        <f t="shared" si="5"/>
        <v>Cobalt</v>
      </c>
    </row>
    <row r="54" spans="1:28" s="170" customFormat="1" ht="25.2">
      <c r="A54" s="155" t="s">
        <v>183</v>
      </c>
      <c r="B54" s="304" t="s">
        <v>40</v>
      </c>
      <c r="C54" s="152" t="s">
        <v>12202</v>
      </c>
      <c r="D54" s="149"/>
      <c r="E54" s="149" t="s">
        <v>60</v>
      </c>
      <c r="F54" s="149" t="s">
        <v>183</v>
      </c>
      <c r="G54" s="149" t="s">
        <v>12</v>
      </c>
      <c r="H54" s="206"/>
      <c r="I54" s="207" t="s">
        <v>62</v>
      </c>
      <c r="J54" s="207" t="s">
        <v>63</v>
      </c>
      <c r="K54" s="150"/>
      <c r="L54" s="150"/>
      <c r="M54" s="150"/>
      <c r="N54" s="150"/>
      <c r="O54" s="150"/>
      <c r="P54" s="209"/>
      <c r="Q54" s="151"/>
      <c r="R54" s="149" t="str">
        <f ca="1">IF(ISERROR($V54),"",OFFSET('Smelter Look-up'!$C$4,$V54-4,0)&amp;"")</f>
        <v>La Compagnie de Traitement des Rejets de Kingamyambo S.A. (Metalkol S.A.)</v>
      </c>
      <c r="S54" s="155" t="str">
        <f t="shared" ca="1" si="3"/>
        <v>CD</v>
      </c>
      <c r="T54" s="155" t="str">
        <f ca="1">IF(B54="","",IF(ISERROR(MATCH($J54,SorP!$B$1:$B$6226,0)),"",INDIRECT("'SorP'!$A$"&amp;MATCH($S54&amp;$J54,SorP!C:C,0))))</f>
        <v>CD-HK</v>
      </c>
      <c r="U54" s="168"/>
      <c r="V54" s="169">
        <f>IF(C54="",NA(),MATCH($B54&amp;$C54,'Smelter Look-up'!$J:$J,0))</f>
        <v>84</v>
      </c>
      <c r="X54" s="170">
        <f t="shared" si="4"/>
        <v>0</v>
      </c>
      <c r="AB54" s="314" t="str">
        <f t="shared" si="5"/>
        <v>Cobalt</v>
      </c>
    </row>
    <row r="55" spans="1:28" s="170" customFormat="1" ht="25.2">
      <c r="A55" s="155" t="s">
        <v>185</v>
      </c>
      <c r="B55" s="304" t="s">
        <v>40</v>
      </c>
      <c r="C55" s="152" t="s">
        <v>184</v>
      </c>
      <c r="D55" s="149"/>
      <c r="E55" s="149" t="s">
        <v>65</v>
      </c>
      <c r="F55" s="149" t="s">
        <v>185</v>
      </c>
      <c r="G55" s="149" t="s">
        <v>12</v>
      </c>
      <c r="H55" s="206"/>
      <c r="I55" s="207" t="s">
        <v>186</v>
      </c>
      <c r="J55" s="207" t="s">
        <v>187</v>
      </c>
      <c r="K55" s="150"/>
      <c r="L55" s="150"/>
      <c r="M55" s="150"/>
      <c r="N55" s="150"/>
      <c r="O55" s="150"/>
      <c r="P55" s="209"/>
      <c r="Q55" s="151"/>
      <c r="R55" s="149" t="str">
        <f ca="1">IF(ISERROR($V55),"",OFFSET('Smelter Look-up'!$C$4,$V55-4,0)&amp;"")</f>
        <v>Lanzhou Jinchuan Advanced Materials Technology Co., Ltd.</v>
      </c>
      <c r="S55" s="155" t="str">
        <f t="shared" ca="1" si="3"/>
        <v>CN</v>
      </c>
      <c r="T55" s="155" t="str">
        <f ca="1">IF(B55="","",IF(ISERROR(MATCH($J55,SorP!$B$1:$B$6226,0)),"",INDIRECT("'SorP'!$A$"&amp;MATCH($S55&amp;$J55,SorP!C:C,0))))</f>
        <v>CN-GS</v>
      </c>
      <c r="U55" s="168"/>
      <c r="V55" s="169">
        <f>IF(C55="",NA(),MATCH($B55&amp;$C55,'Smelter Look-up'!$J:$J,0))</f>
        <v>88</v>
      </c>
      <c r="X55" s="170">
        <f t="shared" si="4"/>
        <v>0</v>
      </c>
      <c r="AB55" s="314" t="str">
        <f t="shared" si="5"/>
        <v>Cobalt</v>
      </c>
    </row>
    <row r="56" spans="1:28" s="170" customFormat="1" ht="25.2">
      <c r="A56" s="155" t="s">
        <v>12203</v>
      </c>
      <c r="B56" s="304" t="s">
        <v>40</v>
      </c>
      <c r="C56" s="152" t="s">
        <v>12267</v>
      </c>
      <c r="D56" s="149"/>
      <c r="E56" s="149" t="s">
        <v>76</v>
      </c>
      <c r="F56" s="149" t="s">
        <v>12203</v>
      </c>
      <c r="G56" s="149" t="s">
        <v>12</v>
      </c>
      <c r="H56" s="206"/>
      <c r="I56" s="207" t="s">
        <v>12268</v>
      </c>
      <c r="J56" s="207" t="s">
        <v>11123</v>
      </c>
      <c r="K56" s="150"/>
      <c r="L56" s="150"/>
      <c r="M56" s="150"/>
      <c r="N56" s="150"/>
      <c r="O56" s="150"/>
      <c r="P56" s="209"/>
      <c r="Q56" s="151"/>
      <c r="R56" s="149" t="str">
        <f ca="1">IF(ISERROR($V56),"",OFFSET('Smelter Look-up'!$C$4,$V56-4,0)&amp;"")</f>
        <v>Lianyou Resources Co., Ltd.</v>
      </c>
      <c r="S56" s="155" t="str">
        <f t="shared" ca="1" si="3"/>
        <v>TW</v>
      </c>
      <c r="T56" s="155" t="str">
        <f ca="1">IF(B56="","",IF(ISERROR(MATCH($J56,SorP!$B$1:$B$6226,0)),"",INDIRECT("'SorP'!$A$"&amp;MATCH($S56&amp;$J56,SorP!C:C,0))))</f>
        <v>TW-ILA</v>
      </c>
      <c r="U56" s="168"/>
      <c r="V56" s="169">
        <f>IF(C56="",NA(),MATCH($B56&amp;$C56,'Smelter Look-up'!$J:$J,0))</f>
        <v>89</v>
      </c>
      <c r="X56" s="170">
        <f t="shared" si="4"/>
        <v>0</v>
      </c>
      <c r="AB56" s="314" t="str">
        <f t="shared" si="5"/>
        <v>Cobalt</v>
      </c>
    </row>
    <row r="57" spans="1:28" s="170" customFormat="1" ht="25.2">
      <c r="A57" s="155" t="s">
        <v>12271</v>
      </c>
      <c r="B57" s="304" t="s">
        <v>40</v>
      </c>
      <c r="C57" s="152" t="s">
        <v>12269</v>
      </c>
      <c r="D57" s="149"/>
      <c r="E57" s="149" t="s">
        <v>60</v>
      </c>
      <c r="F57" s="149" t="s">
        <v>12271</v>
      </c>
      <c r="G57" s="149" t="s">
        <v>12</v>
      </c>
      <c r="H57" s="206"/>
      <c r="I57" s="207" t="s">
        <v>12270</v>
      </c>
      <c r="J57" s="207" t="s">
        <v>180</v>
      </c>
      <c r="K57" s="150"/>
      <c r="L57" s="150"/>
      <c r="M57" s="150"/>
      <c r="N57" s="150"/>
      <c r="O57" s="150"/>
      <c r="P57" s="209"/>
      <c r="Q57" s="151"/>
      <c r="R57" s="149" t="str">
        <f ca="1">IF(ISERROR($V57),"",OFFSET('Smelter Look-up'!$C$4,$V57-4,0)&amp;"")</f>
        <v>LUILU RESSOURCES SAS</v>
      </c>
      <c r="S57" s="155" t="str">
        <f t="shared" ca="1" si="3"/>
        <v>CD</v>
      </c>
      <c r="T57" s="155" t="str">
        <f ca="1">IF(B57="","",IF(ISERROR(MATCH($J57,SorP!$B$1:$B$6226,0)),"",INDIRECT("'SorP'!$A$"&amp;MATCH($S57&amp;$J57,SorP!C:C,0))))</f>
        <v>CD-LU</v>
      </c>
      <c r="U57" s="168"/>
      <c r="V57" s="169">
        <f>IF(C57="",NA(),MATCH($B57&amp;$C57,'Smelter Look-up'!$J:$J,0))</f>
        <v>94</v>
      </c>
      <c r="X57" s="170">
        <f t="shared" si="4"/>
        <v>0</v>
      </c>
      <c r="AB57" s="314" t="str">
        <f t="shared" si="5"/>
        <v>Cobalt</v>
      </c>
    </row>
    <row r="58" spans="1:28" s="170" customFormat="1" ht="25.2">
      <c r="A58" s="155" t="s">
        <v>212</v>
      </c>
      <c r="B58" s="304" t="s">
        <v>40</v>
      </c>
      <c r="C58" s="152" t="s">
        <v>211</v>
      </c>
      <c r="D58" s="149"/>
      <c r="E58" s="149" t="s">
        <v>76</v>
      </c>
      <c r="F58" s="149" t="s">
        <v>212</v>
      </c>
      <c r="G58" s="149" t="s">
        <v>12</v>
      </c>
      <c r="H58" s="206"/>
      <c r="I58" s="207" t="s">
        <v>210</v>
      </c>
      <c r="J58" s="207" t="s">
        <v>210</v>
      </c>
      <c r="K58" s="150"/>
      <c r="L58" s="150"/>
      <c r="M58" s="150"/>
      <c r="N58" s="150"/>
      <c r="O58" s="150"/>
      <c r="P58" s="209"/>
      <c r="Q58" s="151"/>
      <c r="R58" s="149" t="str">
        <f ca="1">IF(ISERROR($V58),"",OFFSET('Smelter Look-up'!$C$4,$V58-4,0)&amp;"")</f>
        <v>Mechema Taiwan Plant 2</v>
      </c>
      <c r="S58" s="155" t="str">
        <f t="shared" ca="1" si="3"/>
        <v>TW</v>
      </c>
      <c r="T58" s="155" t="str">
        <f ca="1">IF(B58="","",IF(ISERROR(MATCH($J58,SorP!$B$1:$B$6226,0)),"",INDIRECT("'SorP'!$A$"&amp;MATCH($S58&amp;$J58,SorP!C:C,0))))</f>
        <v>TW-TAO</v>
      </c>
      <c r="U58" s="168"/>
      <c r="V58" s="169">
        <f>IF(C58="",NA(),MATCH($B58&amp;$C58,'Smelter Look-up'!$J:$J,0))</f>
        <v>100</v>
      </c>
      <c r="X58" s="170">
        <f t="shared" si="4"/>
        <v>0</v>
      </c>
      <c r="AB58" s="314" t="str">
        <f t="shared" si="5"/>
        <v>Cobalt</v>
      </c>
    </row>
    <row r="59" spans="1:28" s="170" customFormat="1" ht="20.399999999999999">
      <c r="A59" s="155" t="s">
        <v>220</v>
      </c>
      <c r="B59" s="304" t="s">
        <v>40</v>
      </c>
      <c r="C59" s="152" t="s">
        <v>218</v>
      </c>
      <c r="D59" s="149"/>
      <c r="E59" s="149" t="s">
        <v>219</v>
      </c>
      <c r="F59" s="149" t="s">
        <v>220</v>
      </c>
      <c r="G59" s="149" t="s">
        <v>12</v>
      </c>
      <c r="H59" s="206"/>
      <c r="I59" s="207" t="s">
        <v>221</v>
      </c>
      <c r="J59" s="207" t="s">
        <v>222</v>
      </c>
      <c r="K59" s="150"/>
      <c r="L59" s="150"/>
      <c r="M59" s="150"/>
      <c r="N59" s="150"/>
      <c r="O59" s="150"/>
      <c r="P59" s="209"/>
      <c r="Q59" s="151"/>
      <c r="R59" s="149" t="str">
        <f ca="1">IF(ISERROR($V59),"",OFFSET('Smelter Look-up'!$C$4,$V59-4,0)&amp;"")</f>
        <v>Murrin Murrin Nickel Cobalt Plant</v>
      </c>
      <c r="S59" s="155" t="str">
        <f t="shared" ca="1" si="3"/>
        <v>AU</v>
      </c>
      <c r="T59" s="155" t="str">
        <f ca="1">IF(B59="","",IF(ISERROR(MATCH($J59,SorP!$B$1:$B$6226,0)),"",INDIRECT("'SorP'!$A$"&amp;MATCH($S59&amp;$J59,SorP!C:C,0))))</f>
        <v>AU-WA</v>
      </c>
      <c r="U59" s="168"/>
      <c r="V59" s="169">
        <f>IF(C59="",NA(),MATCH($B59&amp;$C59,'Smelter Look-up'!$J:$J,0))</f>
        <v>109</v>
      </c>
      <c r="X59" s="170">
        <f t="shared" si="4"/>
        <v>0</v>
      </c>
      <c r="AB59" s="314" t="str">
        <f t="shared" si="5"/>
        <v>Cobalt</v>
      </c>
    </row>
    <row r="60" spans="1:28" s="170" customFormat="1" ht="25.2">
      <c r="A60" s="155" t="s">
        <v>12205</v>
      </c>
      <c r="B60" s="304" t="s">
        <v>40</v>
      </c>
      <c r="C60" s="152" t="s">
        <v>12204</v>
      </c>
      <c r="D60" s="149"/>
      <c r="E60" s="149" t="s">
        <v>60</v>
      </c>
      <c r="F60" s="149" t="s">
        <v>12205</v>
      </c>
      <c r="G60" s="149" t="s">
        <v>12</v>
      </c>
      <c r="H60" s="206"/>
      <c r="I60" s="207" t="s">
        <v>179</v>
      </c>
      <c r="J60" s="207" t="s">
        <v>180</v>
      </c>
      <c r="K60" s="150"/>
      <c r="L60" s="150"/>
      <c r="M60" s="150"/>
      <c r="N60" s="150"/>
      <c r="O60" s="150"/>
      <c r="P60" s="209"/>
      <c r="Q60" s="151"/>
      <c r="R60" s="149" t="str">
        <f ca="1">IF(ISERROR($V60),"",OFFSET('Smelter Look-up'!$C$4,$V60-4,0)&amp;"")</f>
        <v>Mutanda Mining SPRL</v>
      </c>
      <c r="S60" s="155" t="str">
        <f t="shared" ca="1" si="3"/>
        <v>CD</v>
      </c>
      <c r="T60" s="155" t="str">
        <f ca="1">IF(B60="","",IF(ISERROR(MATCH($J60,SorP!$B$1:$B$6226,0)),"",INDIRECT("'SorP'!$A$"&amp;MATCH($S60&amp;$J60,SorP!C:C,0))))</f>
        <v>CD-LU</v>
      </c>
      <c r="U60" s="168"/>
      <c r="V60" s="169">
        <f>IF(C60="",NA(),MATCH($B60&amp;$C60,'Smelter Look-up'!$J:$J,0))</f>
        <v>111</v>
      </c>
      <c r="X60" s="170">
        <f t="shared" si="4"/>
        <v>0</v>
      </c>
      <c r="AB60" s="314" t="str">
        <f t="shared" si="5"/>
        <v>Cobalt</v>
      </c>
    </row>
    <row r="61" spans="1:28" s="170" customFormat="1" ht="25.2">
      <c r="A61" s="155" t="s">
        <v>235</v>
      </c>
      <c r="B61" s="304" t="s">
        <v>40</v>
      </c>
      <c r="C61" s="152" t="s">
        <v>12210</v>
      </c>
      <c r="D61" s="149"/>
      <c r="E61" s="149" t="s">
        <v>65</v>
      </c>
      <c r="F61" s="149" t="s">
        <v>235</v>
      </c>
      <c r="G61" s="149" t="s">
        <v>12</v>
      </c>
      <c r="H61" s="206"/>
      <c r="I61" s="207" t="s">
        <v>204</v>
      </c>
      <c r="J61" s="207" t="s">
        <v>205</v>
      </c>
      <c r="K61" s="150"/>
      <c r="L61" s="150"/>
      <c r="M61" s="150"/>
      <c r="N61" s="150"/>
      <c r="O61" s="150"/>
      <c r="P61" s="209"/>
      <c r="Q61" s="151"/>
      <c r="R61" s="149" t="str">
        <f ca="1">IF(ISERROR($V61),"",OFFSET('Smelter Look-up'!$C$4,$V61-4,0)&amp;"")</f>
        <v>Zhejiang New Era Zhongneng Technology Co., Ltd.</v>
      </c>
      <c r="S61" s="155" t="str">
        <f t="shared" ca="1" si="3"/>
        <v>CN</v>
      </c>
      <c r="T61" s="155" t="str">
        <f ca="1">IF(B61="","",IF(ISERROR(MATCH($J61,SorP!$B$1:$B$6226,0)),"",INDIRECT("'SorP'!$A$"&amp;MATCH($S61&amp;$J61,SorP!C:C,0))))</f>
        <v>CN-ZJ</v>
      </c>
      <c r="U61" s="168"/>
      <c r="V61" s="169">
        <f>IF(C61="",NA(),MATCH($B61&amp;$C61,'Smelter Look-up'!$J:$J,0))</f>
        <v>171</v>
      </c>
      <c r="X61" s="170">
        <f t="shared" si="4"/>
        <v>0</v>
      </c>
      <c r="AB61" s="314" t="str">
        <f t="shared" si="5"/>
        <v>Cobalt</v>
      </c>
    </row>
    <row r="62" spans="1:28" s="170" customFormat="1" ht="20.399999999999999">
      <c r="A62" s="155" t="s">
        <v>250</v>
      </c>
      <c r="B62" s="304" t="s">
        <v>40</v>
      </c>
      <c r="C62" s="152" t="s">
        <v>249</v>
      </c>
      <c r="D62" s="149"/>
      <c r="E62" s="149" t="s">
        <v>95</v>
      </c>
      <c r="F62" s="149" t="s">
        <v>250</v>
      </c>
      <c r="G62" s="149" t="s">
        <v>12</v>
      </c>
      <c r="H62" s="206"/>
      <c r="I62" s="207" t="s">
        <v>251</v>
      </c>
      <c r="J62" s="207" t="s">
        <v>98</v>
      </c>
      <c r="K62" s="150"/>
      <c r="L62" s="150"/>
      <c r="M62" s="150"/>
      <c r="N62" s="150"/>
      <c r="O62" s="150"/>
      <c r="P62" s="209"/>
      <c r="Q62" s="151"/>
      <c r="R62" s="149" t="str">
        <f ca="1">IF(ISERROR($V62),"",OFFSET('Smelter Look-up'!$C$4,$V62-4,0)&amp;"")</f>
        <v>Port Colborne Refinery</v>
      </c>
      <c r="S62" s="155" t="str">
        <f t="shared" ca="1" si="3"/>
        <v>CA</v>
      </c>
      <c r="T62" s="155" t="str">
        <f ca="1">IF(B62="","",IF(ISERROR(MATCH($J62,SorP!$B$1:$B$6226,0)),"",INDIRECT("'SorP'!$A$"&amp;MATCH($S62&amp;$J62,SorP!C:C,0))))</f>
        <v>CA-ON</v>
      </c>
      <c r="U62" s="168"/>
      <c r="V62" s="169">
        <f>IF(C62="",NA(),MATCH($B62&amp;$C62,'Smelter Look-up'!$J:$J,0))</f>
        <v>125</v>
      </c>
      <c r="X62" s="170">
        <f t="shared" si="4"/>
        <v>0</v>
      </c>
      <c r="AB62" s="314" t="str">
        <f t="shared" si="5"/>
        <v>Cobalt</v>
      </c>
    </row>
    <row r="63" spans="1:28" s="170" customFormat="1" ht="25.2">
      <c r="A63" s="155" t="s">
        <v>12275</v>
      </c>
      <c r="B63" s="304" t="s">
        <v>40</v>
      </c>
      <c r="C63" s="152" t="s">
        <v>12274</v>
      </c>
      <c r="D63" s="149"/>
      <c r="E63" s="149" t="s">
        <v>253</v>
      </c>
      <c r="F63" s="149" t="s">
        <v>12275</v>
      </c>
      <c r="G63" s="149" t="s">
        <v>12</v>
      </c>
      <c r="H63" s="206"/>
      <c r="I63" s="207" t="s">
        <v>12276</v>
      </c>
      <c r="J63" s="207" t="s">
        <v>5397</v>
      </c>
      <c r="K63" s="150"/>
      <c r="L63" s="150"/>
      <c r="M63" s="150"/>
      <c r="N63" s="150"/>
      <c r="O63" s="150"/>
      <c r="P63" s="209"/>
      <c r="Q63" s="151"/>
      <c r="R63" s="149" t="str">
        <f ca="1">IF(ISERROR($V63),"",OFFSET('Smelter Look-up'!$C$4,$V63-4,0)&amp;"")</f>
        <v>PT Halmahera Persada Lygend</v>
      </c>
      <c r="S63" s="155" t="str">
        <f t="shared" ca="1" si="3"/>
        <v>ID</v>
      </c>
      <c r="T63" s="155" t="str">
        <f ca="1">IF(B63="","",IF(ISERROR(MATCH($J63,SorP!$B$1:$B$6226,0)),"",INDIRECT("'SorP'!$A$"&amp;MATCH($S63&amp;$J63,SorP!C:C,0))))</f>
        <v>ID-MU</v>
      </c>
      <c r="U63" s="168"/>
      <c r="V63" s="169">
        <f>IF(C63="",NA(),MATCH($B63&amp;$C63,'Smelter Look-up'!$J:$J,0))</f>
        <v>127</v>
      </c>
      <c r="X63" s="170">
        <f t="shared" ref="X63:X126" si="6">IF(AND(C63="Smelter not listed",OR(LEN(D63)=0,LEN(E63)=0)),1,0)</f>
        <v>0</v>
      </c>
      <c r="AB63" s="314" t="str">
        <f t="shared" si="5"/>
        <v>Cobalt</v>
      </c>
    </row>
    <row r="64" spans="1:28" s="170" customFormat="1" ht="20.399999999999999">
      <c r="A64" s="155" t="s">
        <v>19175</v>
      </c>
      <c r="B64" s="304" t="s">
        <v>40</v>
      </c>
      <c r="C64" s="152" t="s">
        <v>19174</v>
      </c>
      <c r="D64" s="149"/>
      <c r="E64" s="149" t="s">
        <v>253</v>
      </c>
      <c r="F64" s="149" t="s">
        <v>19175</v>
      </c>
      <c r="G64" s="149" t="s">
        <v>12</v>
      </c>
      <c r="H64" s="206"/>
      <c r="I64" s="207" t="s">
        <v>19184</v>
      </c>
      <c r="J64" s="207" t="s">
        <v>5397</v>
      </c>
      <c r="K64" s="150"/>
      <c r="L64" s="150"/>
      <c r="M64" s="150"/>
      <c r="N64" s="150"/>
      <c r="O64" s="150"/>
      <c r="P64" s="209"/>
      <c r="Q64" s="151"/>
      <c r="R64" s="149" t="str">
        <f ca="1">IF(ISERROR($V64),"",OFFSET('Smelter Look-up'!$C$4,$V64-4,0)&amp;"")</f>
        <v>PT HUAFEI NICKEL COBALT</v>
      </c>
      <c r="S64" s="155" t="str">
        <f t="shared" ref="S64:S127" ca="1" si="7">IF(B64="","",IF(ISERROR(MATCH($E64,CL,0)),"Unknown",INDIRECT("'C'!$A$"&amp;MATCH($E64,CL,0)+1)))</f>
        <v>ID</v>
      </c>
      <c r="T64" s="155" t="str">
        <f ca="1">IF(B64="","",IF(ISERROR(MATCH($J64,SorP!$B$1:$B$6226,0)),"",INDIRECT("'SorP'!$A$"&amp;MATCH($S64&amp;$J64,SorP!C:C,0))))</f>
        <v>ID-MU</v>
      </c>
      <c r="U64" s="168"/>
      <c r="V64" s="169">
        <f>IF(C64="",NA(),MATCH($B64&amp;$C64,'Smelter Look-up'!$J:$J,0))</f>
        <v>128</v>
      </c>
      <c r="X64" s="170">
        <f t="shared" si="6"/>
        <v>0</v>
      </c>
      <c r="AB64" s="314" t="str">
        <f t="shared" si="5"/>
        <v>Cobalt</v>
      </c>
    </row>
    <row r="65" spans="1:28" s="170" customFormat="1" ht="20.399999999999999">
      <c r="A65" s="155" t="s">
        <v>19176</v>
      </c>
      <c r="B65" s="304" t="s">
        <v>40</v>
      </c>
      <c r="C65" s="152" t="s">
        <v>18908</v>
      </c>
      <c r="D65" s="149"/>
      <c r="E65" s="149" t="s">
        <v>253</v>
      </c>
      <c r="F65" s="149" t="s">
        <v>19176</v>
      </c>
      <c r="G65" s="149" t="s">
        <v>12</v>
      </c>
      <c r="H65" s="206"/>
      <c r="I65" s="207" t="s">
        <v>12279</v>
      </c>
      <c r="J65" s="207" t="s">
        <v>5423</v>
      </c>
      <c r="K65" s="150"/>
      <c r="L65" s="150"/>
      <c r="M65" s="150"/>
      <c r="N65" s="150"/>
      <c r="O65" s="150"/>
      <c r="P65" s="209"/>
      <c r="Q65" s="151"/>
      <c r="R65" s="149" t="str">
        <f ca="1">IF(ISERROR($V65),"",OFFSET('Smelter Look-up'!$C$4,$V65-4,0)&amp;"")</f>
        <v>PT HUAYUE NICKEL COBALT</v>
      </c>
      <c r="S65" s="155" t="str">
        <f t="shared" ca="1" si="7"/>
        <v>ID</v>
      </c>
      <c r="T65" s="155" t="str">
        <f ca="1">IF(B65="","",IF(ISERROR(MATCH($J65,SorP!$B$1:$B$6226,0)),"",INDIRECT("'SorP'!$A$"&amp;MATCH($S65&amp;$J65,SorP!C:C,0))))</f>
        <v>ID-ST</v>
      </c>
      <c r="U65" s="168"/>
      <c r="V65" s="169">
        <f>IF(C65="",NA(),MATCH($B65&amp;$C65,'Smelter Look-up'!$J:$J,0))</f>
        <v>129</v>
      </c>
      <c r="X65" s="170">
        <f t="shared" si="6"/>
        <v>0</v>
      </c>
      <c r="AB65" s="314" t="str">
        <f t="shared" si="5"/>
        <v>Cobalt</v>
      </c>
    </row>
    <row r="66" spans="1:28" s="170" customFormat="1" ht="20.399999999999999">
      <c r="A66" s="155" t="s">
        <v>19233</v>
      </c>
      <c r="B66" s="304" t="s">
        <v>40</v>
      </c>
      <c r="C66" s="152" t="s">
        <v>19232</v>
      </c>
      <c r="D66" s="149"/>
      <c r="E66" s="149" t="s">
        <v>253</v>
      </c>
      <c r="F66" s="149" t="s">
        <v>19233</v>
      </c>
      <c r="G66" s="149" t="s">
        <v>12</v>
      </c>
      <c r="H66" s="206"/>
      <c r="I66" s="207" t="s">
        <v>19234</v>
      </c>
      <c r="J66" s="207" t="s">
        <v>5381</v>
      </c>
      <c r="K66" s="150"/>
      <c r="L66" s="150"/>
      <c r="M66" s="150"/>
      <c r="N66" s="150"/>
      <c r="O66" s="150"/>
      <c r="P66" s="209"/>
      <c r="Q66" s="151"/>
      <c r="R66" s="149" t="str">
        <f ca="1">IF(ISERROR($V66),"",OFFSET('Smelter Look-up'!$C$4,$V66-4,0)&amp;"")</f>
        <v>PT Obi Nickel Cobalt</v>
      </c>
      <c r="S66" s="155" t="str">
        <f t="shared" ca="1" si="7"/>
        <v>ID</v>
      </c>
      <c r="T66" s="155" t="str">
        <f ca="1">IF(B66="","",IF(ISERROR(MATCH($J66,SorP!$B$1:$B$6226,0)),"",INDIRECT("'SorP'!$A$"&amp;MATCH($S66&amp;$J66,SorP!C:C,0))))</f>
        <v>ID-JK</v>
      </c>
      <c r="U66" s="168"/>
      <c r="V66" s="169">
        <f>IF(C66="",NA(),MATCH($B66&amp;$C66,'Smelter Look-up'!$J:$J,0))</f>
        <v>131</v>
      </c>
      <c r="X66" s="170">
        <f t="shared" si="6"/>
        <v>0</v>
      </c>
      <c r="AB66" s="314" t="str">
        <f t="shared" si="5"/>
        <v>Cobalt</v>
      </c>
    </row>
    <row r="67" spans="1:28" s="170" customFormat="1" ht="20.399999999999999">
      <c r="A67" s="155" t="s">
        <v>12278</v>
      </c>
      <c r="B67" s="304" t="s">
        <v>40</v>
      </c>
      <c r="C67" s="152" t="s">
        <v>12277</v>
      </c>
      <c r="D67" s="149"/>
      <c r="E67" s="149" t="s">
        <v>253</v>
      </c>
      <c r="F67" s="149" t="s">
        <v>12278</v>
      </c>
      <c r="G67" s="149" t="s">
        <v>12</v>
      </c>
      <c r="H67" s="206"/>
      <c r="I67" s="207" t="s">
        <v>12279</v>
      </c>
      <c r="J67" s="207" t="s">
        <v>5423</v>
      </c>
      <c r="K67" s="150"/>
      <c r="L67" s="150"/>
      <c r="M67" s="150"/>
      <c r="N67" s="150"/>
      <c r="O67" s="150"/>
      <c r="P67" s="209"/>
      <c r="Q67" s="151"/>
      <c r="R67" s="149" t="str">
        <f ca="1">IF(ISERROR($V67),"",OFFSET('Smelter Look-up'!$C$4,$V67-4,0)&amp;"")</f>
        <v>PT QMB New Energy Materials</v>
      </c>
      <c r="S67" s="155" t="str">
        <f t="shared" ca="1" si="7"/>
        <v>ID</v>
      </c>
      <c r="T67" s="155" t="str">
        <f ca="1">IF(B67="","",IF(ISERROR(MATCH($J67,SorP!$B$1:$B$6226,0)),"",INDIRECT("'SorP'!$A$"&amp;MATCH($S67&amp;$J67,SorP!C:C,0))))</f>
        <v>ID-ST</v>
      </c>
      <c r="U67" s="168"/>
      <c r="V67" s="169">
        <f>IF(C67="",NA(),MATCH($B67&amp;$C67,'Smelter Look-up'!$J:$J,0))</f>
        <v>132</v>
      </c>
      <c r="X67" s="170">
        <f t="shared" si="6"/>
        <v>0</v>
      </c>
      <c r="AB67" s="314" t="str">
        <f t="shared" si="5"/>
        <v>Cobalt</v>
      </c>
    </row>
    <row r="68" spans="1:28" s="170" customFormat="1" ht="25.2">
      <c r="A68" s="155" t="s">
        <v>262</v>
      </c>
      <c r="B68" s="304" t="s">
        <v>40</v>
      </c>
      <c r="C68" s="152" t="s">
        <v>261</v>
      </c>
      <c r="D68" s="149"/>
      <c r="E68" s="149" t="s">
        <v>60</v>
      </c>
      <c r="F68" s="149" t="s">
        <v>262</v>
      </c>
      <c r="G68" s="149" t="s">
        <v>12</v>
      </c>
      <c r="H68" s="206"/>
      <c r="I68" s="207" t="s">
        <v>263</v>
      </c>
      <c r="J68" s="207" t="s">
        <v>63</v>
      </c>
      <c r="K68" s="150"/>
      <c r="L68" s="150"/>
      <c r="M68" s="150"/>
      <c r="N68" s="150"/>
      <c r="O68" s="150"/>
      <c r="P68" s="209"/>
      <c r="Q68" s="151"/>
      <c r="R68" s="149" t="str">
        <f ca="1">IF(ISERROR($V68),"",OFFSET('Smelter Look-up'!$C$4,$V68-4,0)&amp;"")</f>
        <v>Ruashi Mining SAS</v>
      </c>
      <c r="S68" s="155" t="str">
        <f t="shared" ca="1" si="7"/>
        <v>CD</v>
      </c>
      <c r="T68" s="155" t="str">
        <f ca="1">IF(B68="","",IF(ISERROR(MATCH($J68,SorP!$B$1:$B$6226,0)),"",INDIRECT("'SorP'!$A$"&amp;MATCH($S68&amp;$J68,SorP!C:C,0))))</f>
        <v>CD-HK</v>
      </c>
      <c r="U68" s="168"/>
      <c r="V68" s="169">
        <f>IF(C68="",NA(),MATCH($B68&amp;$C68,'Smelter Look-up'!$J:$J,0))</f>
        <v>135</v>
      </c>
      <c r="X68" s="170">
        <f t="shared" si="6"/>
        <v>0</v>
      </c>
      <c r="AB68" s="314" t="str">
        <f t="shared" si="5"/>
        <v>Cobalt</v>
      </c>
    </row>
    <row r="69" spans="1:28" s="170" customFormat="1" ht="20.399999999999999">
      <c r="A69" s="155" t="s">
        <v>12282</v>
      </c>
      <c r="B69" s="304" t="s">
        <v>40</v>
      </c>
      <c r="C69" s="152" t="s">
        <v>12281</v>
      </c>
      <c r="D69" s="149"/>
      <c r="E69" s="149" t="s">
        <v>65</v>
      </c>
      <c r="F69" s="149" t="s">
        <v>12282</v>
      </c>
      <c r="G69" s="149" t="s">
        <v>12</v>
      </c>
      <c r="H69" s="206"/>
      <c r="I69" s="207" t="s">
        <v>12283</v>
      </c>
      <c r="J69" s="207" t="s">
        <v>3190</v>
      </c>
      <c r="K69" s="150"/>
      <c r="L69" s="150"/>
      <c r="M69" s="150"/>
      <c r="N69" s="150"/>
      <c r="O69" s="150"/>
      <c r="P69" s="209"/>
      <c r="Q69" s="151"/>
      <c r="R69" s="149" t="str">
        <f ca="1">IF(ISERROR($V69),"",OFFSET('Smelter Look-up'!$C$4,$V69-4,0)&amp;"")</f>
        <v>Sichuan Jayson New Energy Technology Co., Ltd.</v>
      </c>
      <c r="S69" s="155" t="str">
        <f t="shared" ca="1" si="7"/>
        <v>CN</v>
      </c>
      <c r="T69" s="155" t="str">
        <f ca="1">IF(B69="","",IF(ISERROR(MATCH($J69,SorP!$B$1:$B$6226,0)),"",INDIRECT("'SorP'!$A$"&amp;MATCH($S69&amp;$J69,SorP!C:C,0))))</f>
        <v>CN-SC</v>
      </c>
      <c r="U69" s="168"/>
      <c r="V69" s="169">
        <f>IF(C69="",NA(),MATCH($B69&amp;$C69,'Smelter Look-up'!$J:$J,0))</f>
        <v>138</v>
      </c>
      <c r="X69" s="170">
        <f t="shared" si="6"/>
        <v>0</v>
      </c>
      <c r="AB69" s="314" t="str">
        <f t="shared" si="5"/>
        <v>Cobalt</v>
      </c>
    </row>
    <row r="70" spans="1:28" s="170" customFormat="1" ht="25.2">
      <c r="A70" s="155" t="s">
        <v>12286</v>
      </c>
      <c r="B70" s="304" t="s">
        <v>40</v>
      </c>
      <c r="C70" s="152" t="s">
        <v>12285</v>
      </c>
      <c r="D70" s="149"/>
      <c r="E70" s="149" t="s">
        <v>60</v>
      </c>
      <c r="F70" s="149" t="s">
        <v>12286</v>
      </c>
      <c r="G70" s="149" t="s">
        <v>12</v>
      </c>
      <c r="H70" s="206"/>
      <c r="I70" s="207" t="s">
        <v>12287</v>
      </c>
      <c r="J70" s="207" t="s">
        <v>63</v>
      </c>
      <c r="K70" s="150"/>
      <c r="L70" s="150"/>
      <c r="M70" s="150"/>
      <c r="N70" s="150"/>
      <c r="O70" s="150"/>
      <c r="P70" s="209"/>
      <c r="Q70" s="151"/>
      <c r="R70" s="149" t="str">
        <f ca="1">IF(ISERROR($V70),"",OFFSET('Smelter Look-up'!$C$4,$V70-4,0)&amp;"")</f>
        <v>SOCIETE MINIERE DU KATANGA (Lupoto Plant)</v>
      </c>
      <c r="S70" s="155" t="str">
        <f t="shared" ca="1" si="7"/>
        <v>CD</v>
      </c>
      <c r="T70" s="155" t="str">
        <f ca="1">IF(B70="","",IF(ISERROR(MATCH($J70,SorP!$B$1:$B$6226,0)),"",INDIRECT("'SorP'!$A$"&amp;MATCH($S70&amp;$J70,SorP!C:C,0))))</f>
        <v>CD-HK</v>
      </c>
      <c r="U70" s="168"/>
      <c r="V70" s="169">
        <f>IF(C70="",NA(),MATCH($B70&amp;$C70,'Smelter Look-up'!$J:$J,0))</f>
        <v>140</v>
      </c>
      <c r="X70" s="170">
        <f t="shared" si="6"/>
        <v>0</v>
      </c>
      <c r="AB70" s="314" t="str">
        <f t="shared" ref="AB70:AB133" si="8">IF(C70="","",B70)</f>
        <v>Cobalt</v>
      </c>
    </row>
    <row r="71" spans="1:28" s="170" customFormat="1" ht="25.2">
      <c r="A71" s="155" t="s">
        <v>266</v>
      </c>
      <c r="B71" s="304" t="s">
        <v>40</v>
      </c>
      <c r="C71" s="152" t="s">
        <v>265</v>
      </c>
      <c r="D71" s="149"/>
      <c r="E71" s="149" t="s">
        <v>60</v>
      </c>
      <c r="F71" s="149" t="s">
        <v>266</v>
      </c>
      <c r="G71" s="149" t="s">
        <v>12</v>
      </c>
      <c r="H71" s="206"/>
      <c r="I71" s="207" t="s">
        <v>62</v>
      </c>
      <c r="J71" s="207" t="s">
        <v>63</v>
      </c>
      <c r="K71" s="150"/>
      <c r="L71" s="150"/>
      <c r="M71" s="150"/>
      <c r="N71" s="150"/>
      <c r="O71" s="150"/>
      <c r="P71" s="209"/>
      <c r="Q71" s="151"/>
      <c r="R71" s="149" t="str">
        <f ca="1">IF(ISERROR($V71),"",OFFSET('Smelter Look-up'!$C$4,$V71-4,0)&amp;"")</f>
        <v>Societe pour le Traitment du Terril de Lubumbashi (STL)</v>
      </c>
      <c r="S71" s="155" t="str">
        <f t="shared" ca="1" si="7"/>
        <v>CD</v>
      </c>
      <c r="T71" s="155" t="str">
        <f ca="1">IF(B71="","",IF(ISERROR(MATCH($J71,SorP!$B$1:$B$6226,0)),"",INDIRECT("'SorP'!$A$"&amp;MATCH($S71&amp;$J71,SorP!C:C,0))))</f>
        <v>CD-HK</v>
      </c>
      <c r="U71" s="168"/>
      <c r="V71" s="169">
        <f>IF(C71="",NA(),MATCH($B71&amp;$C71,'Smelter Look-up'!$J:$J,0))</f>
        <v>141</v>
      </c>
      <c r="X71" s="170">
        <f t="shared" si="6"/>
        <v>0</v>
      </c>
      <c r="AB71" s="314" t="str">
        <f t="shared" si="8"/>
        <v>Cobalt</v>
      </c>
    </row>
    <row r="72" spans="1:28" s="170" customFormat="1" ht="20.399999999999999">
      <c r="A72" s="155" t="s">
        <v>269</v>
      </c>
      <c r="B72" s="304" t="s">
        <v>40</v>
      </c>
      <c r="C72" s="152" t="s">
        <v>268</v>
      </c>
      <c r="D72" s="149"/>
      <c r="E72" s="149" t="s">
        <v>81</v>
      </c>
      <c r="F72" s="149" t="s">
        <v>269</v>
      </c>
      <c r="G72" s="149" t="s">
        <v>12</v>
      </c>
      <c r="H72" s="206"/>
      <c r="I72" s="207" t="s">
        <v>270</v>
      </c>
      <c r="J72" s="207" t="s">
        <v>271</v>
      </c>
      <c r="K72" s="150"/>
      <c r="L72" s="150"/>
      <c r="M72" s="150"/>
      <c r="N72" s="150"/>
      <c r="O72" s="150"/>
      <c r="P72" s="209"/>
      <c r="Q72" s="151"/>
      <c r="R72" s="149" t="str">
        <f ca="1">IF(ISERROR($V72),"",OFFSET('Smelter Look-up'!$C$4,$V72-4,0)&amp;"")</f>
        <v>SungEel HiTech Co., Ltd.</v>
      </c>
      <c r="S72" s="155" t="str">
        <f t="shared" ca="1" si="7"/>
        <v>KR</v>
      </c>
      <c r="T72" s="155" t="str">
        <f ca="1">IF(B72="","",IF(ISERROR(MATCH($J72,SorP!$B$1:$B$6226,0)),"",INDIRECT("'SorP'!$A$"&amp;MATCH($S72&amp;$J72,SorP!C:C,0))))</f>
        <v>KR-45</v>
      </c>
      <c r="U72" s="168"/>
      <c r="V72" s="169">
        <f>IF(C72="",NA(),MATCH($B72&amp;$C72,'Smelter Look-up'!$J:$J,0))</f>
        <v>144</v>
      </c>
      <c r="X72" s="170">
        <f t="shared" si="6"/>
        <v>0</v>
      </c>
      <c r="AB72" s="314" t="str">
        <f t="shared" si="8"/>
        <v>Cobalt</v>
      </c>
    </row>
    <row r="73" spans="1:28" s="170" customFormat="1" ht="25.2">
      <c r="A73" s="155" t="s">
        <v>274</v>
      </c>
      <c r="B73" s="304" t="s">
        <v>40</v>
      </c>
      <c r="C73" s="152" t="s">
        <v>12060</v>
      </c>
      <c r="D73" s="149"/>
      <c r="E73" s="149" t="s">
        <v>60</v>
      </c>
      <c r="F73" s="149" t="s">
        <v>274</v>
      </c>
      <c r="G73" s="149" t="s">
        <v>12</v>
      </c>
      <c r="H73" s="206"/>
      <c r="I73" s="207" t="s">
        <v>19186</v>
      </c>
      <c r="J73" s="207" t="s">
        <v>180</v>
      </c>
      <c r="K73" s="150"/>
      <c r="L73" s="150"/>
      <c r="M73" s="150"/>
      <c r="N73" s="150"/>
      <c r="O73" s="150"/>
      <c r="P73" s="209"/>
      <c r="Q73" s="151"/>
      <c r="R73" s="149" t="str">
        <f ca="1">IF(ISERROR($V73),"",OFFSET('Smelter Look-up'!$C$4,$V73-4,0)&amp;"")</f>
        <v>Tenke Fungurume Mining SA</v>
      </c>
      <c r="S73" s="155" t="str">
        <f t="shared" ca="1" si="7"/>
        <v>CD</v>
      </c>
      <c r="T73" s="155" t="str">
        <f ca="1">IF(B73="","",IF(ISERROR(MATCH($J73,SorP!$B$1:$B$6226,0)),"",INDIRECT("'SorP'!$A$"&amp;MATCH($S73&amp;$J73,SorP!C:C,0))))</f>
        <v>CD-LU</v>
      </c>
      <c r="U73" s="168"/>
      <c r="V73" s="169">
        <f>IF(C73="",NA(),MATCH($B73&amp;$C73,'Smelter Look-up'!$J:$J,0))</f>
        <v>149</v>
      </c>
      <c r="X73" s="170">
        <f t="shared" si="6"/>
        <v>0</v>
      </c>
      <c r="AB73" s="314" t="str">
        <f t="shared" si="8"/>
        <v>Cobalt</v>
      </c>
    </row>
    <row r="74" spans="1:28" s="170" customFormat="1" ht="20.399999999999999">
      <c r="A74" s="155" t="s">
        <v>278</v>
      </c>
      <c r="B74" s="304" t="s">
        <v>40</v>
      </c>
      <c r="C74" s="152" t="s">
        <v>276</v>
      </c>
      <c r="D74" s="149"/>
      <c r="E74" s="149" t="s">
        <v>277</v>
      </c>
      <c r="F74" s="149" t="s">
        <v>278</v>
      </c>
      <c r="G74" s="149" t="s">
        <v>12</v>
      </c>
      <c r="H74" s="206"/>
      <c r="I74" s="207" t="s">
        <v>279</v>
      </c>
      <c r="J74" s="207" t="s">
        <v>280</v>
      </c>
      <c r="K74" s="150"/>
      <c r="L74" s="150"/>
      <c r="M74" s="150"/>
      <c r="N74" s="150"/>
      <c r="O74" s="150"/>
      <c r="P74" s="209"/>
      <c r="Q74" s="151"/>
      <c r="R74" s="149" t="str">
        <f ca="1">IF(ISERROR($V74),"",OFFSET('Smelter Look-up'!$C$4,$V74-4,0)&amp;"")</f>
        <v>Umicore Olen</v>
      </c>
      <c r="S74" s="155" t="str">
        <f t="shared" ca="1" si="7"/>
        <v>BE</v>
      </c>
      <c r="T74" s="155" t="str">
        <f ca="1">IF(B74="","",IF(ISERROR(MATCH($J74,SorP!$B$1:$B$6226,0)),"",INDIRECT("'SorP'!$A$"&amp;MATCH($S74&amp;$J74,SorP!C:C,0))))</f>
        <v>BE-VAN</v>
      </c>
      <c r="U74" s="168"/>
      <c r="V74" s="169">
        <f>IF(C74="",NA(),MATCH($B74&amp;$C74,'Smelter Look-up'!$J:$J,0))</f>
        <v>153</v>
      </c>
      <c r="X74" s="170">
        <f t="shared" si="6"/>
        <v>0</v>
      </c>
      <c r="AB74" s="314" t="str">
        <f t="shared" si="8"/>
        <v>Cobalt</v>
      </c>
    </row>
    <row r="75" spans="1:28" s="170" customFormat="1" ht="20.399999999999999">
      <c r="A75" s="155" t="s">
        <v>19236</v>
      </c>
      <c r="B75" s="304" t="s">
        <v>40</v>
      </c>
      <c r="C75" s="152" t="s">
        <v>19235</v>
      </c>
      <c r="D75" s="149"/>
      <c r="E75" s="149" t="s">
        <v>65</v>
      </c>
      <c r="F75" s="149" t="s">
        <v>19236</v>
      </c>
      <c r="G75" s="149" t="s">
        <v>12</v>
      </c>
      <c r="H75" s="206"/>
      <c r="I75" s="207" t="s">
        <v>19237</v>
      </c>
      <c r="J75" s="207" t="s">
        <v>171</v>
      </c>
      <c r="K75" s="150"/>
      <c r="L75" s="150"/>
      <c r="M75" s="150"/>
      <c r="N75" s="150"/>
      <c r="O75" s="150"/>
      <c r="P75" s="209"/>
      <c r="Q75" s="151"/>
      <c r="R75" s="149" t="str">
        <f ca="1">IF(ISERROR($V75),"",OFFSET('Smelter Look-up'!$C$4,$V75-4,0)&amp;"")</f>
        <v>Yichang Brunp Contemporary Amperex Co., Ltd.</v>
      </c>
      <c r="S75" s="155" t="str">
        <f t="shared" ca="1" si="7"/>
        <v>CN</v>
      </c>
      <c r="T75" s="155" t="str">
        <f ca="1">IF(B75="","",IF(ISERROR(MATCH($J75,SorP!$B$1:$B$6226,0)),"",INDIRECT("'SorP'!$A$"&amp;MATCH($S75&amp;$J75,SorP!C:C,0))))</f>
        <v>CN-HB</v>
      </c>
      <c r="U75" s="168"/>
      <c r="V75" s="169">
        <f>IF(C75="",NA(),MATCH($B75&amp;$C75,'Smelter Look-up'!$J:$J,0))</f>
        <v>165</v>
      </c>
      <c r="X75" s="170">
        <f t="shared" si="6"/>
        <v>0</v>
      </c>
      <c r="AB75" s="314" t="str">
        <f t="shared" si="8"/>
        <v>Cobalt</v>
      </c>
    </row>
    <row r="76" spans="1:28" s="170" customFormat="1" ht="20.399999999999999">
      <c r="A76" s="155" t="s">
        <v>304</v>
      </c>
      <c r="B76" s="304" t="s">
        <v>40</v>
      </c>
      <c r="C76" s="152" t="s">
        <v>12066</v>
      </c>
      <c r="D76" s="149"/>
      <c r="E76" s="149" t="s">
        <v>65</v>
      </c>
      <c r="F76" s="149" t="s">
        <v>304</v>
      </c>
      <c r="G76" s="149" t="s">
        <v>12</v>
      </c>
      <c r="H76" s="206"/>
      <c r="I76" s="207" t="s">
        <v>204</v>
      </c>
      <c r="J76" s="207" t="s">
        <v>205</v>
      </c>
      <c r="K76" s="150"/>
      <c r="L76" s="150"/>
      <c r="M76" s="150"/>
      <c r="N76" s="150"/>
      <c r="O76" s="150"/>
      <c r="P76" s="209"/>
      <c r="Q76" s="151"/>
      <c r="R76" s="149" t="str">
        <f ca="1">IF(ISERROR($V76),"",OFFSET('Smelter Look-up'!$C$4,$V76-4,0)&amp;"")</f>
        <v>Zhejiang Greatpower Cobalt Materials Co., Ltd.</v>
      </c>
      <c r="S76" s="155" t="str">
        <f t="shared" ca="1" si="7"/>
        <v>CN</v>
      </c>
      <c r="T76" s="155" t="str">
        <f ca="1">IF(B76="","",IF(ISERROR(MATCH($J76,SorP!$B$1:$B$6226,0)),"",INDIRECT("'SorP'!$A$"&amp;MATCH($S76&amp;$J76,SorP!C:C,0))))</f>
        <v>CN-ZJ</v>
      </c>
      <c r="U76" s="168"/>
      <c r="V76" s="169">
        <f>IF(C76="",NA(),MATCH($B76&amp;$C76,'Smelter Look-up'!$J:$J,0))</f>
        <v>167</v>
      </c>
      <c r="X76" s="170">
        <f t="shared" si="6"/>
        <v>0</v>
      </c>
      <c r="AB76" s="314" t="str">
        <f t="shared" si="8"/>
        <v>Cobalt</v>
      </c>
    </row>
    <row r="77" spans="1:28" s="170" customFormat="1" ht="20.399999999999999">
      <c r="A77" s="155" t="s">
        <v>306</v>
      </c>
      <c r="B77" s="304" t="s">
        <v>40</v>
      </c>
      <c r="C77" s="152" t="s">
        <v>305</v>
      </c>
      <c r="D77" s="149"/>
      <c r="E77" s="149" t="s">
        <v>65</v>
      </c>
      <c r="F77" s="149" t="s">
        <v>306</v>
      </c>
      <c r="G77" s="149" t="s">
        <v>12</v>
      </c>
      <c r="H77" s="206"/>
      <c r="I77" s="207" t="s">
        <v>307</v>
      </c>
      <c r="J77" s="207" t="s">
        <v>122</v>
      </c>
      <c r="K77" s="150"/>
      <c r="L77" s="150"/>
      <c r="M77" s="150"/>
      <c r="N77" s="150"/>
      <c r="O77" s="150"/>
      <c r="P77" s="209"/>
      <c r="Q77" s="151"/>
      <c r="R77" s="149" t="str">
        <f ca="1">IF(ISERROR($V77),"",OFFSET('Smelter Look-up'!$C$4,$V77-4,0)&amp;"")</f>
        <v>Zhuhai Kelixin Metal Materials Co., Ltd.</v>
      </c>
      <c r="S77" s="155" t="str">
        <f t="shared" ca="1" si="7"/>
        <v>CN</v>
      </c>
      <c r="T77" s="155" t="str">
        <f ca="1">IF(B77="","",IF(ISERROR(MATCH($J77,SorP!$B$1:$B$6226,0)),"",INDIRECT("'SorP'!$A$"&amp;MATCH($S77&amp;$J77,SorP!C:C,0))))</f>
        <v>CN-GD</v>
      </c>
      <c r="U77" s="168"/>
      <c r="V77" s="169">
        <f>IF(C77="",NA(),MATCH($B77&amp;$C77,'Smelter Look-up'!$J:$J,0))</f>
        <v>173</v>
      </c>
      <c r="X77" s="170">
        <f t="shared" si="6"/>
        <v>0</v>
      </c>
      <c r="AB77" s="314" t="str">
        <f t="shared" si="8"/>
        <v>Cobalt</v>
      </c>
    </row>
    <row r="78" spans="1:28" s="170" customFormat="1" ht="25.2">
      <c r="A78" s="155" t="s">
        <v>18680</v>
      </c>
      <c r="B78" s="304" t="s">
        <v>18641</v>
      </c>
      <c r="C78" s="152" t="s">
        <v>19155</v>
      </c>
      <c r="D78" s="149"/>
      <c r="E78" s="149" t="s">
        <v>60</v>
      </c>
      <c r="F78" s="149" t="s">
        <v>18680</v>
      </c>
      <c r="G78" s="149" t="s">
        <v>12</v>
      </c>
      <c r="H78" s="206"/>
      <c r="I78" s="207" t="s">
        <v>19242</v>
      </c>
      <c r="J78" s="207" t="s">
        <v>180</v>
      </c>
      <c r="K78" s="150"/>
      <c r="L78" s="150"/>
      <c r="M78" s="150"/>
      <c r="N78" s="150"/>
      <c r="O78" s="150"/>
      <c r="P78" s="209"/>
      <c r="Q78" s="151"/>
      <c r="R78" s="149" t="str">
        <f ca="1">IF(ISERROR($V78),"",OFFSET('Smelter Look-up'!$C$4,$V78-4,0)&amp;"")</f>
        <v>CMOC Kisanfu Mining SARL</v>
      </c>
      <c r="S78" s="155" t="str">
        <f t="shared" ca="1" si="7"/>
        <v>CD</v>
      </c>
      <c r="T78" s="155" t="str">
        <f ca="1">IF(B78="","",IF(ISERROR(MATCH($J78,SorP!$B$1:$B$6226,0)),"",INDIRECT("'SorP'!$A$"&amp;MATCH($S78&amp;$J78,SorP!C:C,0))))</f>
        <v>CD-LU</v>
      </c>
      <c r="U78" s="168"/>
      <c r="V78" s="169">
        <f>IF(C78="",NA(),MATCH($B78&amp;$C78,'Smelter Look-up'!$J:$J,0))</f>
        <v>192</v>
      </c>
      <c r="X78" s="170">
        <f t="shared" si="6"/>
        <v>0</v>
      </c>
      <c r="AB78" s="314" t="str">
        <f t="shared" si="8"/>
        <v>Copper</v>
      </c>
    </row>
    <row r="79" spans="1:28" s="170" customFormat="1" ht="20.399999999999999">
      <c r="A79" s="155" t="s">
        <v>18692</v>
      </c>
      <c r="B79" s="304" t="s">
        <v>18641</v>
      </c>
      <c r="C79" s="152" t="s">
        <v>12195</v>
      </c>
      <c r="D79" s="149"/>
      <c r="E79" s="149" t="s">
        <v>1746</v>
      </c>
      <c r="F79" s="149" t="s">
        <v>18692</v>
      </c>
      <c r="G79" s="149" t="s">
        <v>12</v>
      </c>
      <c r="H79" s="206"/>
      <c r="I79" s="207" t="s">
        <v>10986</v>
      </c>
      <c r="J79" s="207" t="s">
        <v>10986</v>
      </c>
      <c r="K79" s="150"/>
      <c r="L79" s="150"/>
      <c r="M79" s="150"/>
      <c r="N79" s="150"/>
      <c r="O79" s="150"/>
      <c r="P79" s="209"/>
      <c r="Q79" s="151"/>
      <c r="R79" s="149" t="str">
        <f ca="1">IF(ISERROR($V79),"",OFFSET('Smelter Look-up'!$C$4,$V79-4,0)&amp;"")</f>
        <v>Eti Bakir A.S</v>
      </c>
      <c r="S79" s="155" t="str">
        <f t="shared" ca="1" si="7"/>
        <v>TR</v>
      </c>
      <c r="T79" s="155" t="str">
        <f ca="1">IF(B79="","",IF(ISERROR(MATCH($J79,SorP!$B$1:$B$6226,0)),"",INDIRECT("'SorP'!$A$"&amp;MATCH($S79&amp;$J79,SorP!C:C,0))))</f>
        <v>TR-47</v>
      </c>
      <c r="U79" s="168"/>
      <c r="V79" s="169">
        <f>IF(C79="",NA(),MATCH($B79&amp;$C79,'Smelter Look-up'!$J:$J,0))</f>
        <v>199</v>
      </c>
      <c r="X79" s="170">
        <f t="shared" si="6"/>
        <v>0</v>
      </c>
      <c r="AB79" s="314" t="str">
        <f t="shared" si="8"/>
        <v>Copper</v>
      </c>
    </row>
    <row r="80" spans="1:28" s="170" customFormat="1" ht="25.2">
      <c r="A80" s="155" t="s">
        <v>18693</v>
      </c>
      <c r="B80" s="304" t="s">
        <v>18641</v>
      </c>
      <c r="C80" s="152" t="s">
        <v>12243</v>
      </c>
      <c r="D80" s="149"/>
      <c r="E80" s="149" t="s">
        <v>60</v>
      </c>
      <c r="F80" s="149" t="s">
        <v>18693</v>
      </c>
      <c r="G80" s="149" t="s">
        <v>12</v>
      </c>
      <c r="H80" s="206"/>
      <c r="I80" s="207" t="s">
        <v>12245</v>
      </c>
      <c r="J80" s="207" t="s">
        <v>63</v>
      </c>
      <c r="K80" s="150"/>
      <c r="L80" s="150"/>
      <c r="M80" s="150"/>
      <c r="N80" s="150"/>
      <c r="O80" s="150"/>
      <c r="P80" s="209"/>
      <c r="Q80" s="151"/>
      <c r="R80" s="149" t="str">
        <f ca="1">IF(ISERROR($V80),"",OFFSET('Smelter Look-up'!$C$4,$V80-4,0)&amp;"")</f>
        <v>Excellen Minerals SARL</v>
      </c>
      <c r="S80" s="155" t="str">
        <f t="shared" ca="1" si="7"/>
        <v>CD</v>
      </c>
      <c r="T80" s="155" t="str">
        <f ca="1">IF(B80="","",IF(ISERROR(MATCH($J80,SorP!$B$1:$B$6226,0)),"",INDIRECT("'SorP'!$A$"&amp;MATCH($S80&amp;$J80,SorP!C:C,0))))</f>
        <v>CD-HK</v>
      </c>
      <c r="U80" s="168"/>
      <c r="V80" s="169">
        <f>IF(C80="",NA(),MATCH($B80&amp;$C80,'Smelter Look-up'!$J:$J,0))</f>
        <v>202</v>
      </c>
      <c r="X80" s="170">
        <f t="shared" si="6"/>
        <v>0</v>
      </c>
      <c r="AB80" s="314" t="str">
        <f t="shared" si="8"/>
        <v>Copper</v>
      </c>
    </row>
    <row r="81" spans="1:28" s="170" customFormat="1" ht="20.399999999999999">
      <c r="A81" s="155" t="s">
        <v>18698</v>
      </c>
      <c r="B81" s="304" t="s">
        <v>18641</v>
      </c>
      <c r="C81" s="152" t="s">
        <v>18697</v>
      </c>
      <c r="D81" s="149"/>
      <c r="E81" s="149" t="s">
        <v>1706</v>
      </c>
      <c r="F81" s="149" t="s">
        <v>18698</v>
      </c>
      <c r="G81" s="149" t="s">
        <v>12</v>
      </c>
      <c r="H81" s="206"/>
      <c r="I81" s="207" t="s">
        <v>12255</v>
      </c>
      <c r="J81" s="207" t="s">
        <v>11966</v>
      </c>
      <c r="K81" s="150"/>
      <c r="L81" s="150"/>
      <c r="M81" s="150"/>
      <c r="N81" s="150"/>
      <c r="O81" s="150"/>
      <c r="P81" s="209"/>
      <c r="Q81" s="151"/>
      <c r="R81" s="149" t="str">
        <f ca="1">IF(ISERROR($V81),"",OFFSET('Smelter Look-up'!$C$4,$V81-4,0)&amp;"")</f>
        <v>Impala Platinum - Base Metal Refinery (BMR)</v>
      </c>
      <c r="S81" s="155" t="str">
        <f t="shared" ca="1" si="7"/>
        <v>ZA</v>
      </c>
      <c r="T81" s="155" t="str">
        <f ca="1">IF(B81="","",IF(ISERROR(MATCH($J81,SorP!$B$1:$B$6226,0)),"",INDIRECT("'SorP'!$A$"&amp;MATCH($S81&amp;$J81,SorP!C:C,0))))</f>
        <v>ZA-GP</v>
      </c>
      <c r="U81" s="168"/>
      <c r="V81" s="169">
        <f>IF(C81="",NA(),MATCH($B81&amp;$C81,'Smelter Look-up'!$J:$J,0))</f>
        <v>206</v>
      </c>
      <c r="X81" s="170">
        <f t="shared" si="6"/>
        <v>0</v>
      </c>
      <c r="AB81" s="314" t="str">
        <f t="shared" si="8"/>
        <v>Copper</v>
      </c>
    </row>
    <row r="82" spans="1:28" s="170" customFormat="1" ht="20.399999999999999">
      <c r="A82" s="155" t="s">
        <v>18700</v>
      </c>
      <c r="B82" s="304" t="s">
        <v>18641</v>
      </c>
      <c r="C82" s="152" t="s">
        <v>18699</v>
      </c>
      <c r="D82" s="149"/>
      <c r="E82" s="149" t="s">
        <v>1706</v>
      </c>
      <c r="F82" s="149" t="s">
        <v>18700</v>
      </c>
      <c r="G82" s="149" t="s">
        <v>12</v>
      </c>
      <c r="H82" s="206"/>
      <c r="I82" s="207" t="s">
        <v>12258</v>
      </c>
      <c r="J82" s="207" t="s">
        <v>3157</v>
      </c>
      <c r="K82" s="150"/>
      <c r="L82" s="150"/>
      <c r="M82" s="150"/>
      <c r="N82" s="150"/>
      <c r="O82" s="150"/>
      <c r="P82" s="209"/>
      <c r="Q82" s="151"/>
      <c r="R82" s="149" t="str">
        <f ca="1">IF(ISERROR($V82),"",OFFSET('Smelter Look-up'!$C$4,$V82-4,0)&amp;"")</f>
        <v>Impala Platinum - Rustenburg Smelter</v>
      </c>
      <c r="S82" s="155" t="str">
        <f t="shared" ca="1" si="7"/>
        <v>ZA</v>
      </c>
      <c r="T82" s="155" t="str">
        <f ca="1">IF(B82="","",IF(ISERROR(MATCH($J82,SorP!$B$1:$B$6226,0)),"",INDIRECT("'SorP'!$A$"&amp;MATCH($S82&amp;$J82,SorP!C:C,0))))</f>
        <v>ZA-NW</v>
      </c>
      <c r="U82" s="168"/>
      <c r="V82" s="169">
        <f>IF(C82="",NA(),MATCH($B82&amp;$C82,'Smelter Look-up'!$J:$J,0))</f>
        <v>207</v>
      </c>
      <c r="X82" s="170">
        <f t="shared" si="6"/>
        <v>0</v>
      </c>
      <c r="AB82" s="314" t="str">
        <f t="shared" si="8"/>
        <v>Copper</v>
      </c>
    </row>
    <row r="83" spans="1:28" s="170" customFormat="1" ht="25.2">
      <c r="A83" s="155" t="s">
        <v>18711</v>
      </c>
      <c r="B83" s="304" t="s">
        <v>18641</v>
      </c>
      <c r="C83" s="152" t="s">
        <v>18710</v>
      </c>
      <c r="D83" s="149"/>
      <c r="E83" s="149" t="s">
        <v>60</v>
      </c>
      <c r="F83" s="149" t="s">
        <v>18711</v>
      </c>
      <c r="G83" s="149" t="s">
        <v>12</v>
      </c>
      <c r="H83" s="206"/>
      <c r="I83" s="207" t="s">
        <v>12287</v>
      </c>
      <c r="J83" s="207" t="s">
        <v>63</v>
      </c>
      <c r="K83" s="150"/>
      <c r="L83" s="150"/>
      <c r="M83" s="150"/>
      <c r="N83" s="150"/>
      <c r="O83" s="150"/>
      <c r="P83" s="209"/>
      <c r="Q83" s="151"/>
      <c r="R83" s="149" t="str">
        <f ca="1">IF(ISERROR($V83),"",OFFSET('Smelter Look-up'!$C$4,$V83-4,0)&amp;"")</f>
        <v>MMG Kinsevere SARL</v>
      </c>
      <c r="S83" s="155" t="str">
        <f t="shared" ca="1" si="7"/>
        <v>CD</v>
      </c>
      <c r="T83" s="155" t="str">
        <f ca="1">IF(B83="","",IF(ISERROR(MATCH($J83,SorP!$B$1:$B$6226,0)),"",INDIRECT("'SorP'!$A$"&amp;MATCH($S83&amp;$J83,SorP!C:C,0))))</f>
        <v>CD-HK</v>
      </c>
      <c r="U83" s="168"/>
      <c r="V83" s="169">
        <f>IF(C83="",NA(),MATCH($B83&amp;$C83,'Smelter Look-up'!$J:$J,0))</f>
        <v>240</v>
      </c>
      <c r="X83" s="170">
        <f t="shared" si="6"/>
        <v>0</v>
      </c>
      <c r="AB83" s="314" t="str">
        <f t="shared" si="8"/>
        <v>Copper</v>
      </c>
    </row>
    <row r="84" spans="1:28" s="170" customFormat="1" ht="25.2">
      <c r="A84" s="155" t="s">
        <v>18712</v>
      </c>
      <c r="B84" s="304" t="s">
        <v>18641</v>
      </c>
      <c r="C84" s="152" t="s">
        <v>12200</v>
      </c>
      <c r="D84" s="149"/>
      <c r="E84" s="149" t="s">
        <v>60</v>
      </c>
      <c r="F84" s="149" t="s">
        <v>18712</v>
      </c>
      <c r="G84" s="149" t="s">
        <v>12</v>
      </c>
      <c r="H84" s="206"/>
      <c r="I84" s="207" t="s">
        <v>179</v>
      </c>
      <c r="J84" s="207" t="s">
        <v>180</v>
      </c>
      <c r="K84" s="150"/>
      <c r="L84" s="150"/>
      <c r="M84" s="150"/>
      <c r="N84" s="150"/>
      <c r="O84" s="150"/>
      <c r="P84" s="209"/>
      <c r="Q84" s="151"/>
      <c r="R84" s="149" t="str">
        <f ca="1">IF(ISERROR($V84),"",OFFSET('Smelter Look-up'!$C$4,$V84-4,0)&amp;"")</f>
        <v>Kisanfu Mining (Kimin)</v>
      </c>
      <c r="S84" s="155" t="str">
        <f t="shared" ca="1" si="7"/>
        <v>CD</v>
      </c>
      <c r="T84" s="155" t="str">
        <f ca="1">IF(B84="","",IF(ISERROR(MATCH($J84,SorP!$B$1:$B$6226,0)),"",INDIRECT("'SorP'!$A$"&amp;MATCH($S84&amp;$J84,SorP!C:C,0))))</f>
        <v>CD-LU</v>
      </c>
      <c r="U84" s="168"/>
      <c r="V84" s="169">
        <f>IF(C84="",NA(),MATCH($B84&amp;$C84,'Smelter Look-up'!$J:$J,0))</f>
        <v>219</v>
      </c>
      <c r="X84" s="170">
        <f t="shared" si="6"/>
        <v>0</v>
      </c>
      <c r="AB84" s="314" t="str">
        <f t="shared" si="8"/>
        <v>Copper</v>
      </c>
    </row>
    <row r="85" spans="1:28" s="170" customFormat="1" ht="25.2">
      <c r="A85" s="155" t="s">
        <v>18714</v>
      </c>
      <c r="B85" s="304" t="s">
        <v>18641</v>
      </c>
      <c r="C85" s="152" t="s">
        <v>12202</v>
      </c>
      <c r="D85" s="149"/>
      <c r="E85" s="149" t="s">
        <v>60</v>
      </c>
      <c r="F85" s="149" t="s">
        <v>18714</v>
      </c>
      <c r="G85" s="149" t="s">
        <v>12</v>
      </c>
      <c r="H85" s="206"/>
      <c r="I85" s="207" t="s">
        <v>62</v>
      </c>
      <c r="J85" s="207" t="s">
        <v>63</v>
      </c>
      <c r="K85" s="150"/>
      <c r="L85" s="150"/>
      <c r="M85" s="150"/>
      <c r="N85" s="150"/>
      <c r="O85" s="150"/>
      <c r="P85" s="209"/>
      <c r="Q85" s="151"/>
      <c r="R85" s="149" t="str">
        <f ca="1">IF(ISERROR($V85),"",OFFSET('Smelter Look-up'!$C$4,$V85-4,0)&amp;"")</f>
        <v>La Compagnie de Traitement des Rejets de Kingamyambo S.A. (Metalkol S.A.)</v>
      </c>
      <c r="S85" s="155" t="str">
        <f t="shared" ca="1" si="7"/>
        <v>CD</v>
      </c>
      <c r="T85" s="155" t="str">
        <f ca="1">IF(B85="","",IF(ISERROR(MATCH($J85,SorP!$B$1:$B$6226,0)),"",INDIRECT("'SorP'!$A$"&amp;MATCH($S85&amp;$J85,SorP!C:C,0))))</f>
        <v>CD-HK</v>
      </c>
      <c r="U85" s="168"/>
      <c r="V85" s="169">
        <f>IF(C85="",NA(),MATCH($B85&amp;$C85,'Smelter Look-up'!$J:$J,0))</f>
        <v>224</v>
      </c>
      <c r="X85" s="170">
        <f t="shared" si="6"/>
        <v>0</v>
      </c>
      <c r="AB85" s="314" t="str">
        <f t="shared" si="8"/>
        <v>Copper</v>
      </c>
    </row>
    <row r="86" spans="1:28" s="170" customFormat="1" ht="25.2">
      <c r="A86" s="155" t="s">
        <v>18727</v>
      </c>
      <c r="B86" s="304" t="s">
        <v>18641</v>
      </c>
      <c r="C86" s="152" t="s">
        <v>12269</v>
      </c>
      <c r="D86" s="149"/>
      <c r="E86" s="149" t="s">
        <v>60</v>
      </c>
      <c r="F86" s="149" t="s">
        <v>18727</v>
      </c>
      <c r="G86" s="149" t="s">
        <v>12</v>
      </c>
      <c r="H86" s="206"/>
      <c r="I86" s="207" t="s">
        <v>12270</v>
      </c>
      <c r="J86" s="207" t="s">
        <v>180</v>
      </c>
      <c r="K86" s="150"/>
      <c r="L86" s="150"/>
      <c r="M86" s="150"/>
      <c r="N86" s="150"/>
      <c r="O86" s="150"/>
      <c r="P86" s="209"/>
      <c r="Q86" s="151"/>
      <c r="R86" s="149" t="str">
        <f ca="1">IF(ISERROR($V86),"",OFFSET('Smelter Look-up'!$C$4,$V86-4,0)&amp;"")</f>
        <v>LUILU RESSOURCES SAS</v>
      </c>
      <c r="S86" s="155" t="str">
        <f t="shared" ca="1" si="7"/>
        <v>CD</v>
      </c>
      <c r="T86" s="155" t="str">
        <f ca="1">IF(B86="","",IF(ISERROR(MATCH($J86,SorP!$B$1:$B$6226,0)),"",INDIRECT("'SorP'!$A$"&amp;MATCH($S86&amp;$J86,SorP!C:C,0))))</f>
        <v>CD-LU</v>
      </c>
      <c r="U86" s="168"/>
      <c r="V86" s="169">
        <f>IF(C86="",NA(),MATCH($B86&amp;$C86,'Smelter Look-up'!$J:$J,0))</f>
        <v>231</v>
      </c>
      <c r="X86" s="170">
        <f t="shared" si="6"/>
        <v>0</v>
      </c>
      <c r="AB86" s="314" t="str">
        <f t="shared" si="8"/>
        <v>Copper</v>
      </c>
    </row>
    <row r="87" spans="1:28" s="170" customFormat="1" ht="25.2">
      <c r="A87" s="155" t="s">
        <v>18747</v>
      </c>
      <c r="B87" s="304" t="s">
        <v>18641</v>
      </c>
      <c r="C87" s="152" t="s">
        <v>12204</v>
      </c>
      <c r="D87" s="149"/>
      <c r="E87" s="149" t="s">
        <v>60</v>
      </c>
      <c r="F87" s="149" t="s">
        <v>18747</v>
      </c>
      <c r="G87" s="149" t="s">
        <v>12</v>
      </c>
      <c r="H87" s="206"/>
      <c r="I87" s="207" t="s">
        <v>179</v>
      </c>
      <c r="J87" s="207" t="s">
        <v>180</v>
      </c>
      <c r="K87" s="150"/>
      <c r="L87" s="150"/>
      <c r="M87" s="150"/>
      <c r="N87" s="150"/>
      <c r="O87" s="150"/>
      <c r="P87" s="209"/>
      <c r="Q87" s="151"/>
      <c r="R87" s="149" t="str">
        <f ca="1">IF(ISERROR($V87),"",OFFSET('Smelter Look-up'!$C$4,$V87-4,0)&amp;"")</f>
        <v>Mutanda Mining SPRL</v>
      </c>
      <c r="S87" s="155" t="str">
        <f t="shared" ca="1" si="7"/>
        <v>CD</v>
      </c>
      <c r="T87" s="155" t="str">
        <f ca="1">IF(B87="","",IF(ISERROR(MATCH($J87,SorP!$B$1:$B$6226,0)),"",INDIRECT("'SorP'!$A$"&amp;MATCH($S87&amp;$J87,SorP!C:C,0))))</f>
        <v>CD-LU</v>
      </c>
      <c r="U87" s="168"/>
      <c r="V87" s="169">
        <f>IF(C87="",NA(),MATCH($B87&amp;$C87,'Smelter Look-up'!$J:$J,0))</f>
        <v>244</v>
      </c>
      <c r="X87" s="170">
        <f t="shared" si="6"/>
        <v>0</v>
      </c>
      <c r="AB87" s="314" t="str">
        <f t="shared" si="8"/>
        <v>Copper</v>
      </c>
    </row>
    <row r="88" spans="1:28" s="170" customFormat="1" ht="20.399999999999999">
      <c r="A88" s="155" t="s">
        <v>18750</v>
      </c>
      <c r="B88" s="304" t="s">
        <v>18641</v>
      </c>
      <c r="C88" s="152" t="s">
        <v>18749</v>
      </c>
      <c r="D88" s="149"/>
      <c r="E88" s="149" t="s">
        <v>1784</v>
      </c>
      <c r="F88" s="149" t="s">
        <v>18750</v>
      </c>
      <c r="G88" s="149" t="s">
        <v>12</v>
      </c>
      <c r="H88" s="206"/>
      <c r="I88" s="207" t="s">
        <v>19287</v>
      </c>
      <c r="J88" s="207" t="s">
        <v>12019</v>
      </c>
      <c r="K88" s="150"/>
      <c r="L88" s="150"/>
      <c r="M88" s="150"/>
      <c r="N88" s="150"/>
      <c r="O88" s="150"/>
      <c r="P88" s="209"/>
      <c r="Q88" s="151"/>
      <c r="R88" s="149" t="str">
        <f ca="1">IF(ISERROR($V88),"",OFFSET('Smelter Look-up'!$C$4,$V88-4,0)&amp;"")</f>
        <v>NKANA COPPER REFINERY - Nkana (Kitwe)</v>
      </c>
      <c r="S88" s="155" t="str">
        <f t="shared" ca="1" si="7"/>
        <v>ZM</v>
      </c>
      <c r="T88" s="155" t="str">
        <f ca="1">IF(B88="","",IF(ISERROR(MATCH($J88,SorP!$B$1:$B$6226,0)),"",INDIRECT("'SorP'!$A$"&amp;MATCH($S88&amp;$J88,SorP!C:C,0))))</f>
        <v>ZM-08</v>
      </c>
      <c r="U88" s="168"/>
      <c r="V88" s="169">
        <f>IF(C88="",NA(),MATCH($B88&amp;$C88,'Smelter Look-up'!$J:$J,0))</f>
        <v>247</v>
      </c>
      <c r="X88" s="170">
        <f t="shared" si="6"/>
        <v>0</v>
      </c>
      <c r="AB88" s="314" t="str">
        <f t="shared" si="8"/>
        <v>Copper</v>
      </c>
    </row>
    <row r="89" spans="1:28" s="170" customFormat="1" ht="25.2">
      <c r="A89" s="155" t="s">
        <v>18759</v>
      </c>
      <c r="B89" s="304" t="s">
        <v>18641</v>
      </c>
      <c r="C89" s="152" t="s">
        <v>261</v>
      </c>
      <c r="D89" s="149"/>
      <c r="E89" s="149" t="s">
        <v>60</v>
      </c>
      <c r="F89" s="149" t="s">
        <v>18758</v>
      </c>
      <c r="G89" s="149" t="s">
        <v>12</v>
      </c>
      <c r="H89" s="206"/>
      <c r="I89" s="207" t="s">
        <v>263</v>
      </c>
      <c r="J89" s="207" t="s">
        <v>63</v>
      </c>
      <c r="K89" s="150"/>
      <c r="L89" s="150"/>
      <c r="M89" s="150"/>
      <c r="N89" s="150"/>
      <c r="O89" s="150"/>
      <c r="P89" s="209"/>
      <c r="Q89" s="151"/>
      <c r="R89" s="149" t="str">
        <f ca="1">IF(ISERROR($V89),"",OFFSET('Smelter Look-up'!$C$4,$V89-4,0)&amp;"")</f>
        <v>Ruashi Mining SAS</v>
      </c>
      <c r="S89" s="155" t="str">
        <f t="shared" ca="1" si="7"/>
        <v>CD</v>
      </c>
      <c r="T89" s="155" t="str">
        <f ca="1">IF(B89="","",IF(ISERROR(MATCH($J89,SorP!$B$1:$B$6226,0)),"",INDIRECT("'SorP'!$A$"&amp;MATCH($S89&amp;$J89,SorP!C:C,0))))</f>
        <v>CD-HK</v>
      </c>
      <c r="U89" s="168"/>
      <c r="V89" s="169">
        <f>IF(C89="",NA(),MATCH($B89&amp;$C89,'Smelter Look-up'!$J:$J,0))</f>
        <v>254</v>
      </c>
      <c r="X89" s="170">
        <f t="shared" si="6"/>
        <v>0</v>
      </c>
      <c r="AB89" s="314" t="str">
        <f t="shared" si="8"/>
        <v>Copper</v>
      </c>
    </row>
    <row r="90" spans="1:28" s="170" customFormat="1" ht="25.2">
      <c r="A90" s="155" t="s">
        <v>18769</v>
      </c>
      <c r="B90" s="304" t="s">
        <v>18641</v>
      </c>
      <c r="C90" s="152" t="s">
        <v>12285</v>
      </c>
      <c r="D90" s="149"/>
      <c r="E90" s="149" t="s">
        <v>60</v>
      </c>
      <c r="F90" s="149" t="s">
        <v>18769</v>
      </c>
      <c r="G90" s="149" t="s">
        <v>12</v>
      </c>
      <c r="H90" s="206"/>
      <c r="I90" s="207" t="s">
        <v>12287</v>
      </c>
      <c r="J90" s="207" t="s">
        <v>63</v>
      </c>
      <c r="K90" s="150"/>
      <c r="L90" s="150"/>
      <c r="M90" s="150"/>
      <c r="N90" s="150"/>
      <c r="O90" s="150"/>
      <c r="P90" s="209"/>
      <c r="Q90" s="151"/>
      <c r="R90" s="149" t="str">
        <f ca="1">IF(ISERROR($V90),"",OFFSET('Smelter Look-up'!$C$4,$V90-4,0)&amp;"")</f>
        <v>SOCIETE MINIERE DU KATANGA (Lupoto Plant)</v>
      </c>
      <c r="S90" s="155" t="str">
        <f t="shared" ca="1" si="7"/>
        <v>CD</v>
      </c>
      <c r="T90" s="155" t="str">
        <f ca="1">IF(B90="","",IF(ISERROR(MATCH($J90,SorP!$B$1:$B$6226,0)),"",INDIRECT("'SorP'!$A$"&amp;MATCH($S90&amp;$J90,SorP!C:C,0))))</f>
        <v>CD-HK</v>
      </c>
      <c r="U90" s="168"/>
      <c r="V90" s="169">
        <f>IF(C90="",NA(),MATCH($B90&amp;$C90,'Smelter Look-up'!$J:$J,0))</f>
        <v>264</v>
      </c>
      <c r="X90" s="170">
        <f t="shared" si="6"/>
        <v>0</v>
      </c>
      <c r="AB90" s="314" t="str">
        <f t="shared" si="8"/>
        <v>Copper</v>
      </c>
    </row>
    <row r="91" spans="1:28" s="170" customFormat="1" ht="25.2">
      <c r="A91" s="155" t="s">
        <v>18770</v>
      </c>
      <c r="B91" s="304" t="s">
        <v>18641</v>
      </c>
      <c r="C91" s="152" t="s">
        <v>265</v>
      </c>
      <c r="D91" s="149"/>
      <c r="E91" s="149" t="s">
        <v>60</v>
      </c>
      <c r="F91" s="149" t="s">
        <v>18770</v>
      </c>
      <c r="G91" s="149" t="s">
        <v>12</v>
      </c>
      <c r="H91" s="206"/>
      <c r="I91" s="207" t="s">
        <v>62</v>
      </c>
      <c r="J91" s="207" t="s">
        <v>63</v>
      </c>
      <c r="K91" s="150"/>
      <c r="L91" s="150"/>
      <c r="M91" s="150"/>
      <c r="N91" s="150"/>
      <c r="O91" s="150"/>
      <c r="P91" s="209"/>
      <c r="Q91" s="151"/>
      <c r="R91" s="149" t="str">
        <f ca="1">IF(ISERROR($V91),"",OFFSET('Smelter Look-up'!$C$4,$V91-4,0)&amp;"")</f>
        <v>Societe pour le Traitment du Terril de Lubumbashi (STL)</v>
      </c>
      <c r="S91" s="155" t="str">
        <f t="shared" ca="1" si="7"/>
        <v>CD</v>
      </c>
      <c r="T91" s="155" t="str">
        <f ca="1">IF(B91="","",IF(ISERROR(MATCH($J91,SorP!$B$1:$B$6226,0)),"",INDIRECT("'SorP'!$A$"&amp;MATCH($S91&amp;$J91,SorP!C:C,0))))</f>
        <v>CD-HK</v>
      </c>
      <c r="U91" s="168"/>
      <c r="V91" s="169">
        <f>IF(C91="",NA(),MATCH($B91&amp;$C91,'Smelter Look-up'!$J:$J,0))</f>
        <v>265</v>
      </c>
      <c r="X91" s="170">
        <f t="shared" si="6"/>
        <v>0</v>
      </c>
      <c r="AB91" s="314" t="str">
        <f t="shared" si="8"/>
        <v>Copper</v>
      </c>
    </row>
    <row r="92" spans="1:28" s="170" customFormat="1" ht="37.799999999999997">
      <c r="A92" s="155" t="s">
        <v>18781</v>
      </c>
      <c r="B92" s="304" t="s">
        <v>18641</v>
      </c>
      <c r="C92" s="152" t="s">
        <v>18780</v>
      </c>
      <c r="D92" s="149"/>
      <c r="E92" s="149" t="s">
        <v>315</v>
      </c>
      <c r="F92" s="149" t="s">
        <v>18781</v>
      </c>
      <c r="G92" s="149" t="s">
        <v>12</v>
      </c>
      <c r="H92" s="206"/>
      <c r="I92" s="207" t="s">
        <v>19294</v>
      </c>
      <c r="J92" s="207" t="s">
        <v>12218</v>
      </c>
      <c r="K92" s="150"/>
      <c r="L92" s="150"/>
      <c r="M92" s="150"/>
      <c r="N92" s="150"/>
      <c r="O92" s="150"/>
      <c r="P92" s="209"/>
      <c r="Q92" s="151"/>
      <c r="R92" s="149" t="str">
        <f ca="1">IF(ISERROR($V92),"",OFFSET('Smelter Look-up'!$C$4,$V92-4,0)&amp;"")</f>
        <v>Vedanta Limited-Sterlite Copper</v>
      </c>
      <c r="S92" s="155" t="str">
        <f t="shared" ca="1" si="7"/>
        <v>IN</v>
      </c>
      <c r="T92" s="155" t="str">
        <f ca="1">IF(B92="","",IF(ISERROR(MATCH($J92,SorP!$B$1:$B$6226,0)),"",INDIRECT("'SorP'!$A$"&amp;MATCH($S92&amp;$J92,SorP!C:C,0))))</f>
        <v>IN-DH</v>
      </c>
      <c r="U92" s="168"/>
      <c r="V92" s="169">
        <f>IF(C92="",NA(),MATCH($B92&amp;$C92,'Smelter Look-up'!$J:$J,0))</f>
        <v>273</v>
      </c>
      <c r="X92" s="170">
        <f t="shared" si="6"/>
        <v>0</v>
      </c>
      <c r="AB92" s="314" t="str">
        <f t="shared" si="8"/>
        <v>Copper</v>
      </c>
    </row>
    <row r="93" spans="1:28" s="170" customFormat="1" ht="20.399999999999999">
      <c r="A93" s="155" t="s">
        <v>18876</v>
      </c>
      <c r="B93" s="304" t="s">
        <v>18642</v>
      </c>
      <c r="C93" s="152" t="s">
        <v>86</v>
      </c>
      <c r="D93" s="149"/>
      <c r="E93" s="149" t="s">
        <v>87</v>
      </c>
      <c r="F93" s="149" t="s">
        <v>18876</v>
      </c>
      <c r="G93" s="149" t="s">
        <v>12</v>
      </c>
      <c r="H93" s="206"/>
      <c r="I93" s="207" t="s">
        <v>89</v>
      </c>
      <c r="J93" s="207" t="s">
        <v>89</v>
      </c>
      <c r="K93" s="150"/>
      <c r="L93" s="150"/>
      <c r="M93" s="150"/>
      <c r="N93" s="150"/>
      <c r="O93" s="150"/>
      <c r="P93" s="209"/>
      <c r="Q93" s="151"/>
      <c r="R93" s="149" t="str">
        <f ca="1">IF(ISERROR($V93),"",OFFSET('Smelter Look-up'!$C$4,$V93-4,0)&amp;"")</f>
        <v>Dynatec Madagascar Company</v>
      </c>
      <c r="S93" s="155" t="str">
        <f t="shared" ca="1" si="7"/>
        <v>MG</v>
      </c>
      <c r="T93" s="155" t="str">
        <f ca="1">IF(B93="","",IF(ISERROR(MATCH($J93,SorP!$B$1:$B$6226,0)),"",INDIRECT("'SorP'!$A$"&amp;MATCH($S93&amp;$J93,SorP!C:C,0))))</f>
        <v>MG-A</v>
      </c>
      <c r="U93" s="168"/>
      <c r="V93" s="169">
        <f>IF(C93="",NA(),MATCH($B93&amp;$C93,'Smelter Look-up'!$J:$J,0))</f>
        <v>382</v>
      </c>
      <c r="X93" s="170">
        <f t="shared" si="6"/>
        <v>0</v>
      </c>
      <c r="AB93" s="314" t="str">
        <f t="shared" si="8"/>
        <v>Nickel</v>
      </c>
    </row>
    <row r="94" spans="1:28" s="170" customFormat="1" ht="20.399999999999999">
      <c r="A94" s="155" t="s">
        <v>18877</v>
      </c>
      <c r="B94" s="304" t="s">
        <v>18642</v>
      </c>
      <c r="C94" s="152" t="s">
        <v>12240</v>
      </c>
      <c r="D94" s="149"/>
      <c r="E94" s="149" t="s">
        <v>81</v>
      </c>
      <c r="F94" s="149" t="s">
        <v>18877</v>
      </c>
      <c r="G94" s="149" t="s">
        <v>12</v>
      </c>
      <c r="H94" s="206"/>
      <c r="I94" s="207" t="s">
        <v>12242</v>
      </c>
      <c r="J94" s="207" t="s">
        <v>6424</v>
      </c>
      <c r="K94" s="150"/>
      <c r="L94" s="150"/>
      <c r="M94" s="150"/>
      <c r="N94" s="150"/>
      <c r="O94" s="150"/>
      <c r="P94" s="209"/>
      <c r="Q94" s="151"/>
      <c r="R94" s="149" t="str">
        <f ca="1">IF(ISERROR($V94),"",OFFSET('Smelter Look-up'!$C$4,$V94-4,0)&amp;"")</f>
        <v>Ecopro Materials Co., Ltd.</v>
      </c>
      <c r="S94" s="155" t="str">
        <f t="shared" ca="1" si="7"/>
        <v>KR</v>
      </c>
      <c r="T94" s="155" t="str">
        <f ca="1">IF(B94="","",IF(ISERROR(MATCH($J94,SorP!$B$1:$B$6226,0)),"",INDIRECT("'SorP'!$A$"&amp;MATCH($S94&amp;$J94,SorP!C:C,0))))</f>
        <v>KR-43</v>
      </c>
      <c r="U94" s="168"/>
      <c r="V94" s="169">
        <f>IF(C94="",NA(),MATCH($B94&amp;$C94,'Smelter Look-up'!$J:$J,0))</f>
        <v>383</v>
      </c>
      <c r="X94" s="170">
        <f t="shared" si="6"/>
        <v>0</v>
      </c>
      <c r="AB94" s="314" t="str">
        <f t="shared" si="8"/>
        <v>Nickel</v>
      </c>
    </row>
    <row r="95" spans="1:28" s="170" customFormat="1" ht="25.2">
      <c r="A95" s="155" t="s">
        <v>18880</v>
      </c>
      <c r="B95" s="304" t="s">
        <v>18642</v>
      </c>
      <c r="C95" s="152" t="s">
        <v>12250</v>
      </c>
      <c r="D95" s="149"/>
      <c r="E95" s="149" t="s">
        <v>65</v>
      </c>
      <c r="F95" s="149" t="s">
        <v>18880</v>
      </c>
      <c r="G95" s="149" t="s">
        <v>12</v>
      </c>
      <c r="H95" s="206"/>
      <c r="I95" s="207" t="s">
        <v>12252</v>
      </c>
      <c r="J95" s="207" t="s">
        <v>126</v>
      </c>
      <c r="K95" s="150"/>
      <c r="L95" s="150"/>
      <c r="M95" s="150"/>
      <c r="N95" s="150"/>
      <c r="O95" s="150"/>
      <c r="P95" s="209"/>
      <c r="Q95" s="151"/>
      <c r="R95" s="149" t="str">
        <f ca="1">IF(ISERROR($V95),"",OFFSET('Smelter Look-up'!$C$4,$V95-4,0)&amp;"")</f>
        <v>Guangxi CNGR New Energy Science &amp; Technology Co., Ltd.</v>
      </c>
      <c r="S95" s="155" t="str">
        <f t="shared" ca="1" si="7"/>
        <v>CN</v>
      </c>
      <c r="T95" s="155" t="str">
        <f ca="1">IF(B95="","",IF(ISERROR(MATCH($J95,SorP!$B$1:$B$6226,0)),"",INDIRECT("'SorP'!$A$"&amp;MATCH($S95&amp;$J95,SorP!C:C,0))))</f>
        <v>CN-GX</v>
      </c>
      <c r="U95" s="168"/>
      <c r="V95" s="169">
        <f>IF(C95="",NA(),MATCH($B95&amp;$C95,'Smelter Look-up'!$J:$J,0))</f>
        <v>387</v>
      </c>
      <c r="X95" s="170">
        <f t="shared" si="6"/>
        <v>0</v>
      </c>
      <c r="AB95" s="314" t="str">
        <f t="shared" si="8"/>
        <v>Nickel</v>
      </c>
    </row>
    <row r="96" spans="1:28" s="170" customFormat="1" ht="25.2">
      <c r="A96" s="155" t="s">
        <v>18881</v>
      </c>
      <c r="B96" s="304" t="s">
        <v>18642</v>
      </c>
      <c r="C96" s="152" t="s">
        <v>123</v>
      </c>
      <c r="D96" s="149"/>
      <c r="E96" s="149" t="s">
        <v>65</v>
      </c>
      <c r="F96" s="149" t="s">
        <v>18881</v>
      </c>
      <c r="G96" s="149" t="s">
        <v>12</v>
      </c>
      <c r="H96" s="206"/>
      <c r="I96" s="207" t="s">
        <v>125</v>
      </c>
      <c r="J96" s="207" t="s">
        <v>126</v>
      </c>
      <c r="K96" s="150"/>
      <c r="L96" s="150"/>
      <c r="M96" s="150"/>
      <c r="N96" s="150"/>
      <c r="O96" s="150"/>
      <c r="P96" s="209"/>
      <c r="Q96" s="151"/>
      <c r="R96" s="149" t="str">
        <f ca="1">IF(ISERROR($V96),"",OFFSET('Smelter Look-up'!$C$4,$V96-4,0)&amp;"")</f>
        <v>Guangxi Yinyi Advanced Material Co., Ltd.</v>
      </c>
      <c r="S96" s="155" t="str">
        <f t="shared" ca="1" si="7"/>
        <v>CN</v>
      </c>
      <c r="T96" s="155" t="str">
        <f ca="1">IF(B96="","",IF(ISERROR(MATCH($J96,SorP!$B$1:$B$6226,0)),"",INDIRECT("'SorP'!$A$"&amp;MATCH($S96&amp;$J96,SorP!C:C,0))))</f>
        <v>CN-GX</v>
      </c>
      <c r="U96" s="168"/>
      <c r="V96" s="169">
        <f>IF(C96="",NA(),MATCH($B96&amp;$C96,'Smelter Look-up'!$J:$J,0))</f>
        <v>388</v>
      </c>
      <c r="X96" s="170">
        <f t="shared" si="6"/>
        <v>0</v>
      </c>
      <c r="AB96" s="314" t="str">
        <f t="shared" si="8"/>
        <v>Nickel</v>
      </c>
    </row>
    <row r="97" spans="1:28" s="170" customFormat="1" ht="25.2">
      <c r="A97" s="155" t="s">
        <v>18882</v>
      </c>
      <c r="B97" s="304" t="s">
        <v>18642</v>
      </c>
      <c r="C97" s="152" t="s">
        <v>127</v>
      </c>
      <c r="D97" s="149"/>
      <c r="E97" s="149" t="s">
        <v>65</v>
      </c>
      <c r="F97" s="149" t="s">
        <v>18882</v>
      </c>
      <c r="G97" s="149" t="s">
        <v>12</v>
      </c>
      <c r="H97" s="206"/>
      <c r="I97" s="207" t="s">
        <v>129</v>
      </c>
      <c r="J97" s="207" t="s">
        <v>130</v>
      </c>
      <c r="K97" s="150"/>
      <c r="L97" s="150"/>
      <c r="M97" s="150"/>
      <c r="N97" s="150"/>
      <c r="O97" s="150"/>
      <c r="P97" s="209"/>
      <c r="Q97" s="151"/>
      <c r="R97" s="149" t="str">
        <f ca="1">IF(ISERROR($V97),"",OFFSET('Smelter Look-up'!$C$4,$V97-4,0)&amp;"")</f>
        <v>Guizhou CNGR Resource Recycling Industry Development Co., Ltd.</v>
      </c>
      <c r="S97" s="155" t="str">
        <f t="shared" ca="1" si="7"/>
        <v>CN</v>
      </c>
      <c r="T97" s="155" t="str">
        <f ca="1">IF(B97="","",IF(ISERROR(MATCH($J97,SorP!$B$1:$B$6226,0)),"",INDIRECT("'SorP'!$A$"&amp;MATCH($S97&amp;$J97,SorP!C:C,0))))</f>
        <v>CN-GZ</v>
      </c>
      <c r="U97" s="168"/>
      <c r="V97" s="169">
        <f>IF(C97="",NA(),MATCH($B97&amp;$C97,'Smelter Look-up'!$J:$J,0))</f>
        <v>389</v>
      </c>
      <c r="X97" s="170">
        <f t="shared" si="6"/>
        <v>0</v>
      </c>
      <c r="AB97" s="314" t="str">
        <f t="shared" si="8"/>
        <v>Nickel</v>
      </c>
    </row>
    <row r="98" spans="1:28" s="170" customFormat="1" ht="20.399999999999999">
      <c r="A98" s="155" t="s">
        <v>18883</v>
      </c>
      <c r="B98" s="304" t="s">
        <v>18642</v>
      </c>
      <c r="C98" s="152" t="s">
        <v>12197</v>
      </c>
      <c r="D98" s="149"/>
      <c r="E98" s="149" t="s">
        <v>65</v>
      </c>
      <c r="F98" s="149" t="s">
        <v>18883</v>
      </c>
      <c r="G98" s="149" t="s">
        <v>12</v>
      </c>
      <c r="H98" s="206"/>
      <c r="I98" s="207" t="s">
        <v>129</v>
      </c>
      <c r="J98" s="207" t="s">
        <v>130</v>
      </c>
      <c r="K98" s="150"/>
      <c r="L98" s="150"/>
      <c r="M98" s="150"/>
      <c r="N98" s="150"/>
      <c r="O98" s="150"/>
      <c r="P98" s="209"/>
      <c r="Q98" s="151"/>
      <c r="R98" s="149" t="str">
        <f ca="1">IF(ISERROR($V98),"",OFFSET('Smelter Look-up'!$C$4,$V98-4,0)&amp;"")</f>
        <v>Guizhou Red Star Electronic Material Co., Ltd.</v>
      </c>
      <c r="S98" s="155" t="str">
        <f t="shared" ca="1" si="7"/>
        <v>CN</v>
      </c>
      <c r="T98" s="155" t="str">
        <f ca="1">IF(B98="","",IF(ISERROR(MATCH($J98,SorP!$B$1:$B$6226,0)),"",INDIRECT("'SorP'!$A$"&amp;MATCH($S98&amp;$J98,SorP!C:C,0))))</f>
        <v>CN-GZ</v>
      </c>
      <c r="U98" s="168"/>
      <c r="V98" s="169">
        <f>IF(C98="",NA(),MATCH($B98&amp;$C98,'Smelter Look-up'!$J:$J,0))</f>
        <v>390</v>
      </c>
      <c r="X98" s="170">
        <f t="shared" si="6"/>
        <v>0</v>
      </c>
      <c r="AB98" s="314" t="str">
        <f t="shared" si="8"/>
        <v>Nickel</v>
      </c>
    </row>
    <row r="99" spans="1:28" s="170" customFormat="1" ht="20.399999999999999">
      <c r="A99" s="155" t="s">
        <v>18885</v>
      </c>
      <c r="B99" s="304" t="s">
        <v>18642</v>
      </c>
      <c r="C99" s="152" t="s">
        <v>140</v>
      </c>
      <c r="D99" s="149"/>
      <c r="E99" s="149" t="s">
        <v>65</v>
      </c>
      <c r="F99" s="149" t="s">
        <v>18885</v>
      </c>
      <c r="G99" s="149" t="s">
        <v>12</v>
      </c>
      <c r="H99" s="206"/>
      <c r="I99" s="207" t="s">
        <v>142</v>
      </c>
      <c r="J99" s="207" t="s">
        <v>143</v>
      </c>
      <c r="K99" s="150"/>
      <c r="L99" s="150"/>
      <c r="M99" s="150"/>
      <c r="N99" s="150"/>
      <c r="O99" s="150"/>
      <c r="P99" s="209"/>
      <c r="Q99" s="151"/>
      <c r="R99" s="149" t="str">
        <f ca="1">IF(ISERROR($V99),"",OFFSET('Smelter Look-up'!$C$4,$V99-4,0)&amp;"")</f>
        <v>Hunan Brunp Recycling Technology Co., Ltd.</v>
      </c>
      <c r="S99" s="155" t="str">
        <f t="shared" ca="1" si="7"/>
        <v>CN</v>
      </c>
      <c r="T99" s="155" t="str">
        <f ca="1">IF(B99="","",IF(ISERROR(MATCH($J99,SorP!$B$1:$B$6226,0)),"",INDIRECT("'SorP'!$A$"&amp;MATCH($S99&amp;$J99,SorP!C:C,0))))</f>
        <v>CN-HN</v>
      </c>
      <c r="U99" s="168"/>
      <c r="V99" s="169">
        <f>IF(C99="",NA(),MATCH($B99&amp;$C99,'Smelter Look-up'!$J:$J,0))</f>
        <v>393</v>
      </c>
      <c r="X99" s="170">
        <f t="shared" si="6"/>
        <v>0</v>
      </c>
      <c r="AB99" s="314" t="str">
        <f t="shared" si="8"/>
        <v>Nickel</v>
      </c>
    </row>
    <row r="100" spans="1:28" s="170" customFormat="1" ht="25.2">
      <c r="A100" s="155" t="s">
        <v>18886</v>
      </c>
      <c r="B100" s="304" t="s">
        <v>18642</v>
      </c>
      <c r="C100" s="152" t="s">
        <v>144</v>
      </c>
      <c r="D100" s="149"/>
      <c r="E100" s="149" t="s">
        <v>65</v>
      </c>
      <c r="F100" s="149" t="s">
        <v>18886</v>
      </c>
      <c r="G100" s="149" t="s">
        <v>12</v>
      </c>
      <c r="H100" s="206"/>
      <c r="I100" s="207" t="s">
        <v>142</v>
      </c>
      <c r="J100" s="207" t="s">
        <v>143</v>
      </c>
      <c r="K100" s="150"/>
      <c r="L100" s="150"/>
      <c r="M100" s="150"/>
      <c r="N100" s="150"/>
      <c r="O100" s="150"/>
      <c r="P100" s="209"/>
      <c r="Q100" s="151"/>
      <c r="R100" s="149" t="str">
        <f ca="1">IF(ISERROR($V100),"",OFFSET('Smelter Look-up'!$C$4,$V100-4,0)&amp;"")</f>
        <v>Hunan CNGR New Energy Science &amp; Technology Co., Ltd.</v>
      </c>
      <c r="S100" s="155" t="str">
        <f t="shared" ca="1" si="7"/>
        <v>CN</v>
      </c>
      <c r="T100" s="155" t="str">
        <f ca="1">IF(B100="","",IF(ISERROR(MATCH($J100,SorP!$B$1:$B$6226,0)),"",INDIRECT("'SorP'!$A$"&amp;MATCH($S100&amp;$J100,SorP!C:C,0))))</f>
        <v>CN-HN</v>
      </c>
      <c r="U100" s="168"/>
      <c r="V100" s="169">
        <f>IF(C100="",NA(),MATCH($B100&amp;$C100,'Smelter Look-up'!$J:$J,0))</f>
        <v>394</v>
      </c>
      <c r="X100" s="170">
        <f t="shared" si="6"/>
        <v>0</v>
      </c>
      <c r="AB100" s="314" t="str">
        <f t="shared" si="8"/>
        <v>Nickel</v>
      </c>
    </row>
    <row r="101" spans="1:28" s="170" customFormat="1" ht="37.799999999999997">
      <c r="A101" s="155" t="s">
        <v>18890</v>
      </c>
      <c r="B101" s="304" t="s">
        <v>18642</v>
      </c>
      <c r="C101" s="152" t="s">
        <v>18889</v>
      </c>
      <c r="D101" s="149"/>
      <c r="E101" s="149" t="s">
        <v>156</v>
      </c>
      <c r="F101" s="149" t="s">
        <v>18890</v>
      </c>
      <c r="G101" s="149" t="s">
        <v>12</v>
      </c>
      <c r="H101" s="206"/>
      <c r="I101" s="207" t="s">
        <v>158</v>
      </c>
      <c r="J101" s="207" t="s">
        <v>159</v>
      </c>
      <c r="K101" s="150"/>
      <c r="L101" s="150"/>
      <c r="M101" s="150"/>
      <c r="N101" s="150"/>
      <c r="O101" s="150"/>
      <c r="P101" s="209"/>
      <c r="Q101" s="151"/>
      <c r="R101" s="149" t="str">
        <f ca="1">IF(ISERROR($V101),"",OFFSET('Smelter Look-up'!$C$4,$V101-4,0)&amp;"")</f>
        <v>IconiChem</v>
      </c>
      <c r="S101" s="155" t="str">
        <f t="shared" ca="1" si="7"/>
        <v>GB</v>
      </c>
      <c r="T101" s="155" t="str">
        <f ca="1">IF(B101="","",IF(ISERROR(MATCH($J101,SorP!$B$1:$B$6226,0)),"",INDIRECT("'SorP'!$A$"&amp;MATCH($S101&amp;$J101,SorP!C:C,0))))</f>
        <v>GB-CHW</v>
      </c>
      <c r="U101" s="168"/>
      <c r="V101" s="169">
        <f>IF(C101="",NA(),MATCH($B101&amp;$C101,'Smelter Look-up'!$J:$J,0))</f>
        <v>396</v>
      </c>
      <c r="X101" s="170">
        <f t="shared" si="6"/>
        <v>0</v>
      </c>
      <c r="AB101" s="314" t="str">
        <f t="shared" si="8"/>
        <v>Nickel</v>
      </c>
    </row>
    <row r="102" spans="1:28" s="170" customFormat="1" ht="20.399999999999999">
      <c r="A102" s="155" t="s">
        <v>18891</v>
      </c>
      <c r="B102" s="304" t="s">
        <v>18642</v>
      </c>
      <c r="C102" s="152" t="s">
        <v>18697</v>
      </c>
      <c r="D102" s="149"/>
      <c r="E102" s="149" t="s">
        <v>1706</v>
      </c>
      <c r="F102" s="149" t="s">
        <v>18891</v>
      </c>
      <c r="G102" s="149" t="s">
        <v>12</v>
      </c>
      <c r="H102" s="206"/>
      <c r="I102" s="207" t="s">
        <v>12255</v>
      </c>
      <c r="J102" s="207" t="s">
        <v>11966</v>
      </c>
      <c r="K102" s="150"/>
      <c r="L102" s="150"/>
      <c r="M102" s="150"/>
      <c r="N102" s="150"/>
      <c r="O102" s="150"/>
      <c r="P102" s="209"/>
      <c r="Q102" s="151"/>
      <c r="R102" s="149" t="str">
        <f ca="1">IF(ISERROR($V102),"",OFFSET('Smelter Look-up'!$C$4,$V102-4,0)&amp;"")</f>
        <v>Impala Platinum - Base Metal Refinery (BMR)</v>
      </c>
      <c r="S102" s="155" t="str">
        <f t="shared" ca="1" si="7"/>
        <v>ZA</v>
      </c>
      <c r="T102" s="155" t="str">
        <f ca="1">IF(B102="","",IF(ISERROR(MATCH($J102,SorP!$B$1:$B$6226,0)),"",INDIRECT("'SorP'!$A$"&amp;MATCH($S102&amp;$J102,SorP!C:C,0))))</f>
        <v>ZA-GP</v>
      </c>
      <c r="U102" s="168"/>
      <c r="V102" s="169">
        <f>IF(C102="",NA(),MATCH($B102&amp;$C102,'Smelter Look-up'!$J:$J,0))</f>
        <v>397</v>
      </c>
      <c r="X102" s="170">
        <f t="shared" si="6"/>
        <v>0</v>
      </c>
      <c r="AB102" s="314" t="str">
        <f t="shared" si="8"/>
        <v>Nickel</v>
      </c>
    </row>
    <row r="103" spans="1:28" s="170" customFormat="1" ht="20.399999999999999">
      <c r="A103" s="155" t="s">
        <v>18893</v>
      </c>
      <c r="B103" s="304" t="s">
        <v>18642</v>
      </c>
      <c r="C103" s="152" t="s">
        <v>12260</v>
      </c>
      <c r="D103" s="149"/>
      <c r="E103" s="149" t="s">
        <v>65</v>
      </c>
      <c r="F103" s="149" t="s">
        <v>18893</v>
      </c>
      <c r="G103" s="149" t="s">
        <v>12</v>
      </c>
      <c r="H103" s="206"/>
      <c r="I103" s="207" t="s">
        <v>12262</v>
      </c>
      <c r="J103" s="207" t="s">
        <v>122</v>
      </c>
      <c r="K103" s="150"/>
      <c r="L103" s="150"/>
      <c r="M103" s="150"/>
      <c r="N103" s="150"/>
      <c r="O103" s="150"/>
      <c r="P103" s="209"/>
      <c r="Q103" s="151"/>
      <c r="R103" s="149" t="str">
        <f ca="1">IF(ISERROR($V103),"",OFFSET('Smelter Look-up'!$C$4,$V103-4,0)&amp;"")</f>
        <v>Jiangmen Chancsun Umicore Industry Co.,Ltd</v>
      </c>
      <c r="S103" s="155" t="str">
        <f t="shared" ca="1" si="7"/>
        <v>CN</v>
      </c>
      <c r="T103" s="155" t="str">
        <f ca="1">IF(B103="","",IF(ISERROR(MATCH($J103,SorP!$B$1:$B$6226,0)),"",INDIRECT("'SorP'!$A$"&amp;MATCH($S103&amp;$J103,SorP!C:C,0))))</f>
        <v>CN-GD</v>
      </c>
      <c r="U103" s="168"/>
      <c r="V103" s="169">
        <f>IF(C103="",NA(),MATCH($B103&amp;$C103,'Smelter Look-up'!$J:$J,0))</f>
        <v>402</v>
      </c>
      <c r="X103" s="170">
        <f t="shared" si="6"/>
        <v>0</v>
      </c>
      <c r="AB103" s="314" t="str">
        <f t="shared" si="8"/>
        <v>Nickel</v>
      </c>
    </row>
    <row r="104" spans="1:28" s="170" customFormat="1" ht="20.399999999999999">
      <c r="A104" s="155" t="s">
        <v>18894</v>
      </c>
      <c r="B104" s="304" t="s">
        <v>18642</v>
      </c>
      <c r="C104" s="152" t="s">
        <v>12052</v>
      </c>
      <c r="D104" s="149"/>
      <c r="E104" s="149" t="s">
        <v>65</v>
      </c>
      <c r="F104" s="149" t="s">
        <v>18894</v>
      </c>
      <c r="G104" s="149" t="s">
        <v>12</v>
      </c>
      <c r="H104" s="206"/>
      <c r="I104" s="207" t="s">
        <v>12053</v>
      </c>
      <c r="J104" s="207" t="s">
        <v>106</v>
      </c>
      <c r="K104" s="150"/>
      <c r="L104" s="150"/>
      <c r="M104" s="150"/>
      <c r="N104" s="150"/>
      <c r="O104" s="150"/>
      <c r="P104" s="209"/>
      <c r="Q104" s="151"/>
      <c r="R104" s="149" t="str">
        <f ca="1">IF(ISERROR($V104),"",OFFSET('Smelter Look-up'!$C$4,$V104-4,0)&amp;"")</f>
        <v>Jiangxi Miracle Golden Tiger Cobalt Co. Ltd.</v>
      </c>
      <c r="S104" s="155" t="str">
        <f t="shared" ca="1" si="7"/>
        <v>CN</v>
      </c>
      <c r="T104" s="155" t="str">
        <f ca="1">IF(B104="","",IF(ISERROR(MATCH($J104,SorP!$B$1:$B$6226,0)),"",INDIRECT("'SorP'!$A$"&amp;MATCH($S104&amp;$J104,SorP!C:C,0))))</f>
        <v>CN-JX</v>
      </c>
      <c r="U104" s="168"/>
      <c r="V104" s="169">
        <f>IF(C104="",NA(),MATCH($B104&amp;$C104,'Smelter Look-up'!$J:$J,0))</f>
        <v>403</v>
      </c>
      <c r="X104" s="170">
        <f t="shared" si="6"/>
        <v>0</v>
      </c>
      <c r="AB104" s="314" t="str">
        <f t="shared" si="8"/>
        <v>Nickel</v>
      </c>
    </row>
    <row r="105" spans="1:28" s="170" customFormat="1" ht="20.399999999999999">
      <c r="A105" s="155" t="s">
        <v>18895</v>
      </c>
      <c r="B105" s="304" t="s">
        <v>18642</v>
      </c>
      <c r="C105" s="152" t="s">
        <v>12264</v>
      </c>
      <c r="D105" s="149"/>
      <c r="E105" s="149" t="s">
        <v>65</v>
      </c>
      <c r="F105" s="149" t="s">
        <v>18895</v>
      </c>
      <c r="G105" s="149" t="s">
        <v>12</v>
      </c>
      <c r="H105" s="206"/>
      <c r="I105" s="207" t="s">
        <v>12266</v>
      </c>
      <c r="J105" s="207" t="s">
        <v>106</v>
      </c>
      <c r="K105" s="150"/>
      <c r="L105" s="150"/>
      <c r="M105" s="150"/>
      <c r="N105" s="150"/>
      <c r="O105" s="150"/>
      <c r="P105" s="209"/>
      <c r="Q105" s="151"/>
      <c r="R105" s="149" t="str">
        <f ca="1">IF(ISERROR($V105),"",OFFSET('Smelter Look-up'!$C$4,$V105-4,0)&amp;"")</f>
        <v>Jiangxi Ruida New Energy Technology Co., Ltd.</v>
      </c>
      <c r="S105" s="155" t="str">
        <f t="shared" ca="1" si="7"/>
        <v>CN</v>
      </c>
      <c r="T105" s="155" t="str">
        <f ca="1">IF(B105="","",IF(ISERROR(MATCH($J105,SorP!$B$1:$B$6226,0)),"",INDIRECT("'SorP'!$A$"&amp;MATCH($S105&amp;$J105,SorP!C:C,0))))</f>
        <v>CN-JX</v>
      </c>
      <c r="U105" s="168"/>
      <c r="V105" s="169">
        <f>IF(C105="",NA(),MATCH($B105&amp;$C105,'Smelter Look-up'!$J:$J,0))</f>
        <v>406</v>
      </c>
      <c r="X105" s="170">
        <f t="shared" si="6"/>
        <v>0</v>
      </c>
      <c r="AB105" s="314" t="str">
        <f t="shared" si="8"/>
        <v>Nickel</v>
      </c>
    </row>
    <row r="106" spans="1:28" s="170" customFormat="1" ht="20.399999999999999">
      <c r="A106" s="155" t="s">
        <v>18899</v>
      </c>
      <c r="B106" s="304" t="s">
        <v>18642</v>
      </c>
      <c r="C106" s="152" t="s">
        <v>218</v>
      </c>
      <c r="D106" s="149"/>
      <c r="E106" s="149" t="s">
        <v>219</v>
      </c>
      <c r="F106" s="149" t="s">
        <v>18899</v>
      </c>
      <c r="G106" s="149" t="s">
        <v>12</v>
      </c>
      <c r="H106" s="206"/>
      <c r="I106" s="207" t="s">
        <v>19227</v>
      </c>
      <c r="J106" s="207" t="s">
        <v>222</v>
      </c>
      <c r="K106" s="150"/>
      <c r="L106" s="150"/>
      <c r="M106" s="150"/>
      <c r="N106" s="150"/>
      <c r="O106" s="150"/>
      <c r="P106" s="209"/>
      <c r="Q106" s="151"/>
      <c r="R106" s="149" t="str">
        <f ca="1">IF(ISERROR($V106),"",OFFSET('Smelter Look-up'!$C$4,$V106-4,0)&amp;"")</f>
        <v>Murrin Murrin Nickel Cobalt Plant</v>
      </c>
      <c r="S106" s="155" t="str">
        <f t="shared" ca="1" si="7"/>
        <v>AU</v>
      </c>
      <c r="T106" s="155" t="str">
        <f ca="1">IF(B106="","",IF(ISERROR(MATCH($J106,SorP!$B$1:$B$6226,0)),"",INDIRECT("'SorP'!$A$"&amp;MATCH($S106&amp;$J106,SorP!C:C,0))))</f>
        <v>AU-WA</v>
      </c>
      <c r="U106" s="168"/>
      <c r="V106" s="169">
        <f>IF(C106="",NA(),MATCH($B106&amp;$C106,'Smelter Look-up'!$J:$J,0))</f>
        <v>411</v>
      </c>
      <c r="X106" s="170">
        <f t="shared" si="6"/>
        <v>0</v>
      </c>
      <c r="AB106" s="314" t="str">
        <f t="shared" si="8"/>
        <v>Nickel</v>
      </c>
    </row>
    <row r="107" spans="1:28" s="170" customFormat="1" ht="20.399999999999999">
      <c r="A107" s="155" t="s">
        <v>18901</v>
      </c>
      <c r="B107" s="304" t="s">
        <v>18642</v>
      </c>
      <c r="C107" s="152" t="s">
        <v>12059</v>
      </c>
      <c r="D107" s="149"/>
      <c r="E107" s="149" t="s">
        <v>133</v>
      </c>
      <c r="F107" s="149" t="s">
        <v>18901</v>
      </c>
      <c r="G107" s="149" t="s">
        <v>12</v>
      </c>
      <c r="H107" s="206"/>
      <c r="I107" s="207" t="s">
        <v>240</v>
      </c>
      <c r="J107" s="207" t="s">
        <v>241</v>
      </c>
      <c r="K107" s="150"/>
      <c r="L107" s="150"/>
      <c r="M107" s="150"/>
      <c r="N107" s="150"/>
      <c r="O107" s="150"/>
      <c r="P107" s="209"/>
      <c r="Q107" s="151"/>
      <c r="R107" s="149" t="str">
        <f ca="1">IF(ISERROR($V107),"",OFFSET('Smelter Look-up'!$C$4,$V107-4,0)&amp;"")</f>
        <v>Niihama Nickel Refinery, Sumitomo Metal Mining</v>
      </c>
      <c r="S107" s="155" t="str">
        <f t="shared" ca="1" si="7"/>
        <v>JP</v>
      </c>
      <c r="T107" s="155" t="str">
        <f ca="1">IF(B107="","",IF(ISERROR(MATCH($J107,SorP!$B$1:$B$6226,0)),"",INDIRECT("'SorP'!$A$"&amp;MATCH($S107&amp;$J107,SorP!C:C,0))))</f>
        <v>JP-38</v>
      </c>
      <c r="U107" s="168"/>
      <c r="V107" s="169">
        <f>IF(C107="",NA(),MATCH($B107&amp;$C107,'Smelter Look-up'!$J:$J,0))</f>
        <v>415</v>
      </c>
      <c r="X107" s="170">
        <f t="shared" si="6"/>
        <v>0</v>
      </c>
      <c r="AB107" s="314" t="str">
        <f t="shared" si="8"/>
        <v>Nickel</v>
      </c>
    </row>
    <row r="108" spans="1:28" s="170" customFormat="1" ht="20.399999999999999">
      <c r="A108" s="155" t="s">
        <v>18903</v>
      </c>
      <c r="B108" s="304" t="s">
        <v>18642</v>
      </c>
      <c r="C108" s="152" t="s">
        <v>245</v>
      </c>
      <c r="D108" s="149"/>
      <c r="E108" s="149" t="s">
        <v>101</v>
      </c>
      <c r="F108" s="149" t="s">
        <v>18903</v>
      </c>
      <c r="G108" s="149" t="s">
        <v>12</v>
      </c>
      <c r="H108" s="206"/>
      <c r="I108" s="207" t="s">
        <v>19228</v>
      </c>
      <c r="J108" s="207" t="s">
        <v>248</v>
      </c>
      <c r="K108" s="150"/>
      <c r="L108" s="150"/>
      <c r="M108" s="150"/>
      <c r="N108" s="150"/>
      <c r="O108" s="150"/>
      <c r="P108" s="209"/>
      <c r="Q108" s="151"/>
      <c r="R108" s="149" t="str">
        <f ca="1">IF(ISERROR($V108),"",OFFSET('Smelter Look-up'!$C$4,$V108-4,0)&amp;"")</f>
        <v>NORILSK NICKEL HARJAVALTA OY</v>
      </c>
      <c r="S108" s="155" t="str">
        <f t="shared" ca="1" si="7"/>
        <v>FI</v>
      </c>
      <c r="T108" s="155" t="str">
        <f ca="1">IF(B108="","",IF(ISERROR(MATCH($J108,SorP!$B$1:$B$6226,0)),"",INDIRECT("'SorP'!$A$"&amp;MATCH($S108&amp;$J108,SorP!C:C,0))))</f>
        <v>FI-17</v>
      </c>
      <c r="U108" s="168"/>
      <c r="V108" s="169">
        <f>IF(C108="",NA(),MATCH($B108&amp;$C108,'Smelter Look-up'!$J:$J,0))</f>
        <v>417</v>
      </c>
      <c r="X108" s="170">
        <f t="shared" si="6"/>
        <v>0</v>
      </c>
      <c r="AB108" s="314" t="str">
        <f t="shared" si="8"/>
        <v>Nickel</v>
      </c>
    </row>
    <row r="109" spans="1:28" s="170" customFormat="1" ht="20.399999999999999">
      <c r="A109" s="155" t="s">
        <v>18906</v>
      </c>
      <c r="B109" s="304" t="s">
        <v>18642</v>
      </c>
      <c r="C109" s="152" t="s">
        <v>18904</v>
      </c>
      <c r="D109" s="149"/>
      <c r="E109" s="149" t="s">
        <v>253</v>
      </c>
      <c r="F109" s="149" t="s">
        <v>18905</v>
      </c>
      <c r="G109" s="149" t="s">
        <v>12</v>
      </c>
      <c r="H109" s="206"/>
      <c r="I109" s="207" t="s">
        <v>19229</v>
      </c>
      <c r="J109" s="207" t="s">
        <v>5397</v>
      </c>
      <c r="K109" s="150"/>
      <c r="L109" s="150"/>
      <c r="M109" s="150"/>
      <c r="N109" s="150"/>
      <c r="O109" s="150"/>
      <c r="P109" s="209"/>
      <c r="Q109" s="151"/>
      <c r="R109" s="149" t="str">
        <f ca="1">IF(ISERROR($V109),"",OFFSET('Smelter Look-up'!$C$4,$V109-4,0)&amp;"")</f>
        <v>PT DEBONAIR NICKEL INDONESIA</v>
      </c>
      <c r="S109" s="155" t="str">
        <f t="shared" ca="1" si="7"/>
        <v>ID</v>
      </c>
      <c r="T109" s="155" t="str">
        <f ca="1">IF(B109="","",IF(ISERROR(MATCH($J109,SorP!$B$1:$B$6226,0)),"",INDIRECT("'SorP'!$A$"&amp;MATCH($S109&amp;$J109,SorP!C:C,0))))</f>
        <v>ID-MU</v>
      </c>
      <c r="U109" s="168"/>
      <c r="V109" s="169">
        <f>IF(C109="",NA(),MATCH($B109&amp;$C109,'Smelter Look-up'!$J:$J,0))</f>
        <v>418</v>
      </c>
      <c r="X109" s="170">
        <f t="shared" si="6"/>
        <v>0</v>
      </c>
      <c r="AB109" s="314" t="str">
        <f t="shared" si="8"/>
        <v>Nickel</v>
      </c>
    </row>
    <row r="110" spans="1:28" s="170" customFormat="1" ht="25.2">
      <c r="A110" s="155" t="s">
        <v>18907</v>
      </c>
      <c r="B110" s="304" t="s">
        <v>18642</v>
      </c>
      <c r="C110" s="152" t="s">
        <v>12274</v>
      </c>
      <c r="D110" s="149"/>
      <c r="E110" s="149" t="s">
        <v>253</v>
      </c>
      <c r="F110" s="149" t="s">
        <v>18907</v>
      </c>
      <c r="G110" s="149" t="s">
        <v>12</v>
      </c>
      <c r="H110" s="206"/>
      <c r="I110" s="207" t="s">
        <v>12276</v>
      </c>
      <c r="J110" s="207" t="s">
        <v>5397</v>
      </c>
      <c r="K110" s="150"/>
      <c r="L110" s="150"/>
      <c r="M110" s="150"/>
      <c r="N110" s="150"/>
      <c r="O110" s="150"/>
      <c r="P110" s="209"/>
      <c r="Q110" s="151"/>
      <c r="R110" s="149" t="str">
        <f ca="1">IF(ISERROR($V110),"",OFFSET('Smelter Look-up'!$C$4,$V110-4,0)&amp;"")</f>
        <v>PT Halmahera Persada Lygend</v>
      </c>
      <c r="S110" s="155" t="str">
        <f t="shared" ca="1" si="7"/>
        <v>ID</v>
      </c>
      <c r="T110" s="155" t="str">
        <f ca="1">IF(B110="","",IF(ISERROR(MATCH($J110,SorP!$B$1:$B$6226,0)),"",INDIRECT("'SorP'!$A$"&amp;MATCH($S110&amp;$J110,SorP!C:C,0))))</f>
        <v>ID-MU</v>
      </c>
      <c r="U110" s="168"/>
      <c r="V110" s="169">
        <f>IF(C110="",NA(),MATCH($B110&amp;$C110,'Smelter Look-up'!$J:$J,0))</f>
        <v>420</v>
      </c>
      <c r="X110" s="170">
        <f t="shared" si="6"/>
        <v>0</v>
      </c>
      <c r="AB110" s="314" t="str">
        <f t="shared" si="8"/>
        <v>Nickel</v>
      </c>
    </row>
    <row r="111" spans="1:28" s="170" customFormat="1" ht="20.399999999999999">
      <c r="A111" s="155" t="s">
        <v>19220</v>
      </c>
      <c r="B111" s="304" t="s">
        <v>18642</v>
      </c>
      <c r="C111" s="152" t="s">
        <v>19174</v>
      </c>
      <c r="D111" s="149"/>
      <c r="E111" s="149" t="s">
        <v>253</v>
      </c>
      <c r="F111" s="149" t="s">
        <v>19220</v>
      </c>
      <c r="G111" s="149" t="s">
        <v>12</v>
      </c>
      <c r="H111" s="206"/>
      <c r="I111" s="207" t="s">
        <v>19184</v>
      </c>
      <c r="J111" s="207" t="s">
        <v>5397</v>
      </c>
      <c r="K111" s="150"/>
      <c r="L111" s="150"/>
      <c r="M111" s="150"/>
      <c r="N111" s="150"/>
      <c r="O111" s="150"/>
      <c r="P111" s="209"/>
      <c r="Q111" s="151"/>
      <c r="R111" s="149" t="str">
        <f ca="1">IF(ISERROR($V111),"",OFFSET('Smelter Look-up'!$C$4,$V111-4,0)&amp;"")</f>
        <v>PT HUAFEI NICKEL COBALT</v>
      </c>
      <c r="S111" s="155" t="str">
        <f t="shared" ca="1" si="7"/>
        <v>ID</v>
      </c>
      <c r="T111" s="155" t="str">
        <f ca="1">IF(B111="","",IF(ISERROR(MATCH($J111,SorP!$B$1:$B$6226,0)),"",INDIRECT("'SorP'!$A$"&amp;MATCH($S111&amp;$J111,SorP!C:C,0))))</f>
        <v>ID-MU</v>
      </c>
      <c r="U111" s="168"/>
      <c r="V111" s="169">
        <f>IF(C111="",NA(),MATCH($B111&amp;$C111,'Smelter Look-up'!$J:$J,0))</f>
        <v>421</v>
      </c>
      <c r="X111" s="170">
        <f t="shared" si="6"/>
        <v>0</v>
      </c>
      <c r="AB111" s="314" t="str">
        <f t="shared" si="8"/>
        <v>Nickel</v>
      </c>
    </row>
    <row r="112" spans="1:28" s="170" customFormat="1" ht="20.399999999999999">
      <c r="A112" s="155" t="s">
        <v>18909</v>
      </c>
      <c r="B112" s="304" t="s">
        <v>18642</v>
      </c>
      <c r="C112" s="152" t="s">
        <v>18908</v>
      </c>
      <c r="D112" s="149"/>
      <c r="E112" s="149" t="s">
        <v>253</v>
      </c>
      <c r="F112" s="149" t="s">
        <v>18909</v>
      </c>
      <c r="G112" s="149" t="s">
        <v>12</v>
      </c>
      <c r="H112" s="206"/>
      <c r="I112" s="207" t="s">
        <v>12279</v>
      </c>
      <c r="J112" s="207" t="s">
        <v>5423</v>
      </c>
      <c r="K112" s="150"/>
      <c r="L112" s="150"/>
      <c r="M112" s="150"/>
      <c r="N112" s="150"/>
      <c r="O112" s="150"/>
      <c r="P112" s="209"/>
      <c r="Q112" s="151"/>
      <c r="R112" s="149" t="str">
        <f ca="1">IF(ISERROR($V112),"",OFFSET('Smelter Look-up'!$C$4,$V112-4,0)&amp;"")</f>
        <v>PT HUAYUE NICKEL COBALT</v>
      </c>
      <c r="S112" s="155" t="str">
        <f t="shared" ca="1" si="7"/>
        <v>ID</v>
      </c>
      <c r="T112" s="155" t="str">
        <f ca="1">IF(B112="","",IF(ISERROR(MATCH($J112,SorP!$B$1:$B$6226,0)),"",INDIRECT("'SorP'!$A$"&amp;MATCH($S112&amp;$J112,SorP!C:C,0))))</f>
        <v>ID-ST</v>
      </c>
      <c r="U112" s="168"/>
      <c r="V112" s="169">
        <f>IF(C112="",NA(),MATCH($B112&amp;$C112,'Smelter Look-up'!$J:$J,0))</f>
        <v>422</v>
      </c>
      <c r="X112" s="170">
        <f t="shared" si="6"/>
        <v>0</v>
      </c>
      <c r="AB112" s="314" t="str">
        <f t="shared" si="8"/>
        <v>Nickel</v>
      </c>
    </row>
    <row r="113" spans="1:28" s="170" customFormat="1" ht="20.399999999999999">
      <c r="A113" s="155" t="s">
        <v>19252</v>
      </c>
      <c r="B113" s="304" t="s">
        <v>18642</v>
      </c>
      <c r="C113" s="152" t="s">
        <v>19232</v>
      </c>
      <c r="D113" s="149"/>
      <c r="E113" s="149" t="s">
        <v>253</v>
      </c>
      <c r="F113" s="149" t="s">
        <v>19252</v>
      </c>
      <c r="G113" s="149" t="s">
        <v>12</v>
      </c>
      <c r="H113" s="206"/>
      <c r="I113" s="207" t="s">
        <v>19234</v>
      </c>
      <c r="J113" s="207" t="s">
        <v>5381</v>
      </c>
      <c r="K113" s="150"/>
      <c r="L113" s="150"/>
      <c r="M113" s="150"/>
      <c r="N113" s="150"/>
      <c r="O113" s="150"/>
      <c r="P113" s="209"/>
      <c r="Q113" s="151"/>
      <c r="R113" s="149" t="str">
        <f ca="1">IF(ISERROR($V113),"",OFFSET('Smelter Look-up'!$C$4,$V113-4,0)&amp;"")</f>
        <v>PT Obi Nickel Cobalt</v>
      </c>
      <c r="S113" s="155" t="str">
        <f t="shared" ca="1" si="7"/>
        <v>ID</v>
      </c>
      <c r="T113" s="155" t="str">
        <f ca="1">IF(B113="","",IF(ISERROR(MATCH($J113,SorP!$B$1:$B$6226,0)),"",INDIRECT("'SorP'!$A$"&amp;MATCH($S113&amp;$J113,SorP!C:C,0))))</f>
        <v>ID-JK</v>
      </c>
      <c r="U113" s="168"/>
      <c r="V113" s="169">
        <f>IF(C113="",NA(),MATCH($B113&amp;$C113,'Smelter Look-up'!$J:$J,0))</f>
        <v>423</v>
      </c>
      <c r="X113" s="170">
        <f t="shared" si="6"/>
        <v>0</v>
      </c>
      <c r="AB113" s="314" t="str">
        <f t="shared" si="8"/>
        <v>Nickel</v>
      </c>
    </row>
    <row r="114" spans="1:28" s="170" customFormat="1" ht="20.399999999999999">
      <c r="A114" s="155" t="s">
        <v>18910</v>
      </c>
      <c r="B114" s="304" t="s">
        <v>18642</v>
      </c>
      <c r="C114" s="152" t="s">
        <v>12277</v>
      </c>
      <c r="D114" s="149"/>
      <c r="E114" s="149" t="s">
        <v>253</v>
      </c>
      <c r="F114" s="149" t="s">
        <v>18910</v>
      </c>
      <c r="G114" s="149" t="s">
        <v>12</v>
      </c>
      <c r="H114" s="206"/>
      <c r="I114" s="207" t="s">
        <v>12279</v>
      </c>
      <c r="J114" s="207" t="s">
        <v>5423</v>
      </c>
      <c r="K114" s="150"/>
      <c r="L114" s="150"/>
      <c r="M114" s="150"/>
      <c r="N114" s="150"/>
      <c r="O114" s="150"/>
      <c r="P114" s="209"/>
      <c r="Q114" s="151"/>
      <c r="R114" s="149" t="str">
        <f ca="1">IF(ISERROR($V114),"",OFFSET('Smelter Look-up'!$C$4,$V114-4,0)&amp;"")</f>
        <v>PT QMB New Energy Materials</v>
      </c>
      <c r="S114" s="155" t="str">
        <f t="shared" ca="1" si="7"/>
        <v>ID</v>
      </c>
      <c r="T114" s="155" t="str">
        <f ca="1">IF(B114="","",IF(ISERROR(MATCH($J114,SorP!$B$1:$B$6226,0)),"",INDIRECT("'SorP'!$A$"&amp;MATCH($S114&amp;$J114,SorP!C:C,0))))</f>
        <v>ID-ST</v>
      </c>
      <c r="U114" s="168"/>
      <c r="V114" s="169">
        <f>IF(C114="",NA(),MATCH($B114&amp;$C114,'Smelter Look-up'!$J:$J,0))</f>
        <v>424</v>
      </c>
      <c r="X114" s="170">
        <f t="shared" si="6"/>
        <v>0</v>
      </c>
      <c r="AB114" s="314" t="str">
        <f t="shared" si="8"/>
        <v>Nickel</v>
      </c>
    </row>
    <row r="115" spans="1:28" s="170" customFormat="1" ht="20.399999999999999">
      <c r="A115" s="155" t="s">
        <v>18912</v>
      </c>
      <c r="B115" s="304" t="s">
        <v>18642</v>
      </c>
      <c r="C115" s="152" t="s">
        <v>18911</v>
      </c>
      <c r="D115" s="149"/>
      <c r="E115" s="149" t="s">
        <v>253</v>
      </c>
      <c r="F115" s="149" t="s">
        <v>18912</v>
      </c>
      <c r="G115" s="149" t="s">
        <v>12</v>
      </c>
      <c r="H115" s="206"/>
      <c r="I115" s="207" t="s">
        <v>12279</v>
      </c>
      <c r="J115" s="207" t="s">
        <v>5423</v>
      </c>
      <c r="K115" s="150"/>
      <c r="L115" s="150"/>
      <c r="M115" s="150"/>
      <c r="N115" s="150"/>
      <c r="O115" s="150"/>
      <c r="P115" s="209"/>
      <c r="Q115" s="151"/>
      <c r="R115" s="149" t="str">
        <f ca="1">IF(ISERROR($V115),"",OFFSET('Smelter Look-up'!$C$4,$V115-4,0)&amp;"")</f>
        <v>PT Zhongtsing New Energy</v>
      </c>
      <c r="S115" s="155" t="str">
        <f t="shared" ca="1" si="7"/>
        <v>ID</v>
      </c>
      <c r="T115" s="155" t="str">
        <f ca="1">IF(B115="","",IF(ISERROR(MATCH($J115,SorP!$B$1:$B$6226,0)),"",INDIRECT("'SorP'!$A$"&amp;MATCH($S115&amp;$J115,SorP!C:C,0))))</f>
        <v>ID-ST</v>
      </c>
      <c r="U115" s="168"/>
      <c r="V115" s="169">
        <f>IF(C115="",NA(),MATCH($B115&amp;$C115,'Smelter Look-up'!$J:$J,0))</f>
        <v>425</v>
      </c>
      <c r="X115" s="170">
        <f t="shared" si="6"/>
        <v>0</v>
      </c>
      <c r="AB115" s="314" t="str">
        <f t="shared" si="8"/>
        <v>Nickel</v>
      </c>
    </row>
    <row r="116" spans="1:28" s="170" customFormat="1" ht="20.399999999999999">
      <c r="A116" s="155" t="s">
        <v>19222</v>
      </c>
      <c r="B116" s="304" t="s">
        <v>18642</v>
      </c>
      <c r="C116" s="152" t="s">
        <v>19221</v>
      </c>
      <c r="D116" s="149"/>
      <c r="E116" s="149" t="s">
        <v>253</v>
      </c>
      <c r="F116" s="149" t="s">
        <v>19222</v>
      </c>
      <c r="G116" s="149" t="s">
        <v>12</v>
      </c>
      <c r="H116" s="206"/>
      <c r="I116" s="207" t="s">
        <v>19184</v>
      </c>
      <c r="J116" s="207" t="s">
        <v>5397</v>
      </c>
      <c r="K116" s="150"/>
      <c r="L116" s="150"/>
      <c r="M116" s="150"/>
      <c r="N116" s="150"/>
      <c r="O116" s="150"/>
      <c r="P116" s="209"/>
      <c r="Q116" s="151"/>
      <c r="R116" s="149" t="str">
        <f ca="1">IF(ISERROR($V116),"",OFFSET('Smelter Look-up'!$C$4,$V116-4,0)&amp;"")</f>
        <v>PT. Infei Metal Industry</v>
      </c>
      <c r="S116" s="155" t="str">
        <f t="shared" ca="1" si="7"/>
        <v>ID</v>
      </c>
      <c r="T116" s="155" t="str">
        <f ca="1">IF(B116="","",IF(ISERROR(MATCH($J116,SorP!$B$1:$B$6226,0)),"",INDIRECT("'SorP'!$A$"&amp;MATCH($S116&amp;$J116,SorP!C:C,0))))</f>
        <v>ID-MU</v>
      </c>
      <c r="U116" s="168"/>
      <c r="V116" s="169">
        <f>IF(C116="",NA(),MATCH($B116&amp;$C116,'Smelter Look-up'!$J:$J,0))</f>
        <v>426</v>
      </c>
      <c r="X116" s="170">
        <f t="shared" si="6"/>
        <v>0</v>
      </c>
      <c r="AB116" s="314" t="str">
        <f t="shared" si="8"/>
        <v>Nickel</v>
      </c>
    </row>
    <row r="117" spans="1:28" s="170" customFormat="1" ht="20.399999999999999">
      <c r="A117" s="155" t="s">
        <v>19224</v>
      </c>
      <c r="B117" s="304" t="s">
        <v>18642</v>
      </c>
      <c r="C117" s="152" t="s">
        <v>19223</v>
      </c>
      <c r="D117" s="149"/>
      <c r="E117" s="149" t="s">
        <v>253</v>
      </c>
      <c r="F117" s="149" t="s">
        <v>19224</v>
      </c>
      <c r="G117" s="149" t="s">
        <v>12</v>
      </c>
      <c r="H117" s="206"/>
      <c r="I117" s="207" t="s">
        <v>19184</v>
      </c>
      <c r="J117" s="207" t="s">
        <v>5397</v>
      </c>
      <c r="K117" s="150"/>
      <c r="L117" s="150"/>
      <c r="M117" s="150"/>
      <c r="N117" s="150"/>
      <c r="O117" s="150"/>
      <c r="P117" s="209"/>
      <c r="Q117" s="151"/>
      <c r="R117" s="149" t="str">
        <f ca="1">IF(ISERROR($V117),"",OFFSET('Smelter Look-up'!$C$4,$V117-4,0)&amp;"")</f>
        <v>PT. Westrong Metal Industry</v>
      </c>
      <c r="S117" s="155" t="str">
        <f t="shared" ca="1" si="7"/>
        <v>ID</v>
      </c>
      <c r="T117" s="155" t="str">
        <f ca="1">IF(B117="","",IF(ISERROR(MATCH($J117,SorP!$B$1:$B$6226,0)),"",INDIRECT("'SorP'!$A$"&amp;MATCH($S117&amp;$J117,SorP!C:C,0))))</f>
        <v>ID-MU</v>
      </c>
      <c r="U117" s="168"/>
      <c r="V117" s="169">
        <f>IF(C117="",NA(),MATCH($B117&amp;$C117,'Smelter Look-up'!$J:$J,0))</f>
        <v>427</v>
      </c>
      <c r="X117" s="170">
        <f t="shared" si="6"/>
        <v>0</v>
      </c>
      <c r="AB117" s="314" t="str">
        <f t="shared" si="8"/>
        <v>Nickel</v>
      </c>
    </row>
    <row r="118" spans="1:28" s="170" customFormat="1" ht="20.399999999999999">
      <c r="A118" s="155" t="s">
        <v>19254</v>
      </c>
      <c r="B118" s="304" t="s">
        <v>18642</v>
      </c>
      <c r="C118" s="152" t="s">
        <v>19253</v>
      </c>
      <c r="D118" s="149"/>
      <c r="E118" s="149" t="s">
        <v>253</v>
      </c>
      <c r="F118" s="149" t="s">
        <v>19254</v>
      </c>
      <c r="G118" s="149" t="s">
        <v>12</v>
      </c>
      <c r="H118" s="206"/>
      <c r="I118" s="207" t="s">
        <v>12279</v>
      </c>
      <c r="J118" s="207" t="s">
        <v>5423</v>
      </c>
      <c r="K118" s="150"/>
      <c r="L118" s="150"/>
      <c r="M118" s="150"/>
      <c r="N118" s="150"/>
      <c r="O118" s="150"/>
      <c r="P118" s="209"/>
      <c r="Q118" s="151"/>
      <c r="R118" s="149" t="str">
        <f ca="1">IF(ISERROR($V118),"",OFFSET('Smelter Look-up'!$C$4,$V118-4,0)&amp;"")</f>
        <v>PT.NADESICO NICKEL INDUSTRY</v>
      </c>
      <c r="S118" s="155" t="str">
        <f t="shared" ca="1" si="7"/>
        <v>ID</v>
      </c>
      <c r="T118" s="155" t="str">
        <f ca="1">IF(B118="","",IF(ISERROR(MATCH($J118,SorP!$B$1:$B$6226,0)),"",INDIRECT("'SorP'!$A$"&amp;MATCH($S118&amp;$J118,SorP!C:C,0))))</f>
        <v>ID-ST</v>
      </c>
      <c r="U118" s="168"/>
      <c r="V118" s="169">
        <f>IF(C118="",NA(),MATCH($B118&amp;$C118,'Smelter Look-up'!$J:$J,0))</f>
        <v>428</v>
      </c>
      <c r="X118" s="170">
        <f t="shared" si="6"/>
        <v>0</v>
      </c>
      <c r="AB118" s="314" t="str">
        <f t="shared" si="8"/>
        <v>Nickel</v>
      </c>
    </row>
    <row r="119" spans="1:28" s="170" customFormat="1" ht="20.399999999999999">
      <c r="A119" s="155" t="s">
        <v>19256</v>
      </c>
      <c r="B119" s="304" t="s">
        <v>18642</v>
      </c>
      <c r="C119" s="152" t="s">
        <v>100</v>
      </c>
      <c r="D119" s="149"/>
      <c r="E119" s="149" t="s">
        <v>101</v>
      </c>
      <c r="F119" s="149" t="s">
        <v>19256</v>
      </c>
      <c r="G119" s="149" t="s">
        <v>12</v>
      </c>
      <c r="H119" s="206"/>
      <c r="I119" s="207" t="s">
        <v>103</v>
      </c>
      <c r="J119" s="207" t="s">
        <v>104</v>
      </c>
      <c r="K119" s="150"/>
      <c r="L119" s="150"/>
      <c r="M119" s="150"/>
      <c r="N119" s="150"/>
      <c r="O119" s="150"/>
      <c r="P119" s="209"/>
      <c r="Q119" s="151"/>
      <c r="R119" s="149" t="str">
        <f ca="1">IF(ISERROR($V119),"",OFFSET('Smelter Look-up'!$C$4,$V119-4,0)&amp;"")</f>
        <v>Umicore Finland Oy</v>
      </c>
      <c r="S119" s="155" t="str">
        <f t="shared" ca="1" si="7"/>
        <v>FI</v>
      </c>
      <c r="T119" s="155" t="str">
        <f ca="1">IF(B119="","",IF(ISERROR(MATCH($J119,SorP!$B$1:$B$6226,0)),"",INDIRECT("'SorP'!$A$"&amp;MATCH($S119&amp;$J119,SorP!C:C,0))))</f>
        <v>FI-07</v>
      </c>
      <c r="U119" s="168"/>
      <c r="V119" s="169">
        <f>IF(C119="",NA(),MATCH($B119&amp;$C119,'Smelter Look-up'!$J:$J,0))</f>
        <v>433</v>
      </c>
      <c r="X119" s="170">
        <f t="shared" si="6"/>
        <v>0</v>
      </c>
      <c r="AB119" s="314" t="str">
        <f t="shared" si="8"/>
        <v>Nickel</v>
      </c>
    </row>
    <row r="120" spans="1:28" s="170" customFormat="1" ht="20.399999999999999">
      <c r="A120" s="155" t="s">
        <v>19257</v>
      </c>
      <c r="B120" s="304" t="s">
        <v>18642</v>
      </c>
      <c r="C120" s="152" t="s">
        <v>276</v>
      </c>
      <c r="D120" s="149"/>
      <c r="E120" s="149" t="s">
        <v>277</v>
      </c>
      <c r="F120" s="149" t="s">
        <v>19257</v>
      </c>
      <c r="G120" s="149" t="s">
        <v>12</v>
      </c>
      <c r="H120" s="206"/>
      <c r="I120" s="207" t="s">
        <v>279</v>
      </c>
      <c r="J120" s="207" t="s">
        <v>280</v>
      </c>
      <c r="K120" s="150"/>
      <c r="L120" s="150"/>
      <c r="M120" s="150"/>
      <c r="N120" s="150"/>
      <c r="O120" s="150"/>
      <c r="P120" s="209"/>
      <c r="Q120" s="151"/>
      <c r="R120" s="149" t="str">
        <f ca="1">IF(ISERROR($V120),"",OFFSET('Smelter Look-up'!$C$4,$V120-4,0)&amp;"")</f>
        <v>Umicore Olen</v>
      </c>
      <c r="S120" s="155" t="str">
        <f t="shared" ca="1" si="7"/>
        <v>BE</v>
      </c>
      <c r="T120" s="155" t="str">
        <f ca="1">IF(B120="","",IF(ISERROR(MATCH($J120,SorP!$B$1:$B$6226,0)),"",INDIRECT("'SorP'!$A$"&amp;MATCH($S120&amp;$J120,SorP!C:C,0))))</f>
        <v>BE-VAN</v>
      </c>
      <c r="U120" s="168"/>
      <c r="V120" s="169">
        <f>IF(C120="",NA(),MATCH($B120&amp;$C120,'Smelter Look-up'!$J:$J,0))</f>
        <v>434</v>
      </c>
      <c r="X120" s="170">
        <f t="shared" si="6"/>
        <v>0</v>
      </c>
      <c r="AB120" s="314" t="str">
        <f t="shared" si="8"/>
        <v>Nickel</v>
      </c>
    </row>
    <row r="121" spans="1:28" s="170" customFormat="1" ht="20.399999999999999">
      <c r="A121" s="155" t="s">
        <v>20052</v>
      </c>
      <c r="B121" s="304" t="s">
        <v>40</v>
      </c>
      <c r="C121" s="152" t="s">
        <v>20053</v>
      </c>
      <c r="D121" s="149"/>
      <c r="E121" s="149" t="s">
        <v>71</v>
      </c>
      <c r="F121" s="149" t="s">
        <v>20052</v>
      </c>
      <c r="G121" s="149" t="s">
        <v>12</v>
      </c>
      <c r="H121" s="206"/>
      <c r="I121" s="207" t="s">
        <v>20054</v>
      </c>
      <c r="J121" s="207" t="s">
        <v>224</v>
      </c>
      <c r="K121" s="150"/>
      <c r="L121" s="150"/>
      <c r="M121" s="150"/>
      <c r="N121" s="150"/>
      <c r="O121" s="150"/>
      <c r="P121" s="209"/>
      <c r="Q121" s="151"/>
      <c r="R121" s="149" t="str">
        <f ca="1">IF(ISERROR($V121),"",OFFSET('Smelter Look-up'!$C$4,$V121-4,0)&amp;"")</f>
        <v/>
      </c>
      <c r="S121" s="155" t="str">
        <f t="shared" ca="1" si="7"/>
        <v>MA</v>
      </c>
      <c r="T121" s="155" t="str">
        <f ca="1">IF(B121="","",IF(ISERROR(MATCH($J121,SorP!$B$1:$B$6226,0)),"",INDIRECT("'SorP'!$A$"&amp;MATCH($S121&amp;$J121,SorP!C:C,0))))</f>
        <v>MA-08</v>
      </c>
      <c r="U121" s="168"/>
      <c r="V121" s="169" t="e">
        <f>IF(C121="",NA(),MATCH($B121&amp;$C121,'Smelter Look-up'!$J:$J,0))</f>
        <v>#N/A</v>
      </c>
      <c r="X121" s="170">
        <f t="shared" si="6"/>
        <v>0</v>
      </c>
      <c r="AB121" s="314" t="str">
        <f t="shared" si="8"/>
        <v>Cobalt</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8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6" t="str">
        <f ca="1">OFFSET(L!$C$1,MATCH("Checker"&amp;ADDRESS(ROW(),COLUMN(),4),L!$A:$A,0)-1,SL,,)</f>
        <v>To ensure all required fields have been populated before submitting to your customers review form for any line items highlighted in red</v>
      </c>
      <c r="B1" s="476"/>
      <c r="C1" s="476"/>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TCI TELECOMUNICAZIONI ITALIA SRL</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 (*)</v>
      </c>
      <c r="B6" s="79" t="str">
        <f>Declaration!D10</f>
        <v>https://www.tci.it/</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 xml:space="preserve">Giovanni Spalice </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g.spalice@tci.it</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+39 02964161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Dr. Gianfranco Librandi</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tci@tci.it</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45932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Yes</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7.799999999999997">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7.799999999999997">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7.799999999999997">
      <c r="A32" s="80" t="str">
        <f>Declaration!B46</f>
        <v>Mica(*)</v>
      </c>
      <c r="B32" s="79" t="str">
        <f>Declaration!D46</f>
        <v>Yes</v>
      </c>
      <c r="C32" s="136" t="str">
        <f t="shared" ca="1" si="9"/>
        <v>Complete</v>
      </c>
      <c r="D32" s="316"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7.799999999999997">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Unknown</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37.799999999999997">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37.799999999999997">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37.799999999999997">
      <c r="A43" s="80" t="str">
        <f>Declaration!B58</f>
        <v>Mica(*)</v>
      </c>
      <c r="B43" s="79" t="str">
        <f>Declaration!D58</f>
        <v>Unknown</v>
      </c>
      <c r="C43" s="136" t="str">
        <f t="shared" ca="1" si="3"/>
        <v>Complete</v>
      </c>
      <c r="D43" s="318"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37.799999999999997">
      <c r="A44" s="80" t="str">
        <f>Declaration!B59</f>
        <v>Nickel(*)</v>
      </c>
      <c r="B44" s="79" t="str">
        <f>Declaration!D59</f>
        <v>Unknown</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Unknown</v>
      </c>
      <c r="C54" s="136" t="str">
        <f t="shared" ca="1" si="20"/>
        <v>Complete</v>
      </c>
      <c r="D54" s="318"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50% or less</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50% or less</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25.2">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25.2">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25.2">
      <c r="A65" s="80" t="str">
        <f>Declaration!B82</f>
        <v>Mica(*)</v>
      </c>
      <c r="B65" s="79" t="str">
        <f>Declaration!D82</f>
        <v>50% or less</v>
      </c>
      <c r="C65" s="136" t="str">
        <f t="shared" ca="1" si="3"/>
        <v>Complete</v>
      </c>
      <c r="D65" s="319"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25.2">
      <c r="A66" s="80" t="str">
        <f>Declaration!B83</f>
        <v>Nickel(*)</v>
      </c>
      <c r="B66" s="79" t="str">
        <f>Declaration!D83</f>
        <v>50% or less</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7.799999999999997">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7.799999999999997">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7.799999999999997">
      <c r="A76" s="80" t="str">
        <f>Declaration!B94</f>
        <v>Mica(*)</v>
      </c>
      <c r="B76" s="79" t="str">
        <f>Declaration!D94</f>
        <v>No</v>
      </c>
      <c r="C76" s="136" t="str">
        <f t="shared" ca="1" si="31"/>
        <v>Complete</v>
      </c>
      <c r="D76" s="319"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7.799999999999997">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t="str">
        <f>Declaration!D106</f>
        <v>Yes</v>
      </c>
      <c r="C87" s="136" t="str">
        <f t="shared" ca="1" si="36"/>
        <v>Complete</v>
      </c>
      <c r="D87" s="319"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We use EMRT file</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9" t="str">
        <f t="shared" si="51"/>
        <v/>
      </c>
      <c r="E118" s="16"/>
      <c r="F118" s="84">
        <f t="shared" si="52"/>
        <v>1</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7" t="str">
        <f ca="1">OFFSET(L!$C$1,MATCH("Mine List"&amp;ADDRESS(ROW(),COLUMN(),4),L!$A:$A,0)-1,SL,,)</f>
        <v>TO BEGIN:</v>
      </c>
      <c r="C2" s="477" t="s">
        <v>19144</v>
      </c>
      <c r="D2" s="477" t="s">
        <v>19144</v>
      </c>
      <c r="E2" s="326"/>
      <c r="F2" s="326"/>
      <c r="G2" s="327"/>
      <c r="H2" s="478"/>
      <c r="I2" s="479"/>
      <c r="J2" s="479"/>
      <c r="K2" s="479"/>
      <c r="L2" s="479"/>
      <c r="M2" s="479"/>
      <c r="N2" s="328"/>
      <c r="O2" s="328"/>
    </row>
    <row r="3" spans="1:19" s="324" customFormat="1" ht="94.05" customHeight="1" thickBot="1">
      <c r="A3" s="360"/>
      <c r="B3" s="48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0" t="s">
        <v>19144</v>
      </c>
      <c r="D3" s="480" t="s">
        <v>19144</v>
      </c>
      <c r="E3" s="481" t="s">
        <v>19142</v>
      </c>
      <c r="F3" s="481"/>
      <c r="G3" s="482"/>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4" t="str">
        <f ca="1">OFFSET(L!$C$1,MATCH("Product List"&amp;ADDRESS(ROW(),COLUMN(),4),L!$A:$A,0)-1,SL,,)</f>
        <v>Completion required only if reporting level "Product (or List of Products)" selected on the 'Declaration' worksheet.</v>
      </c>
      <c r="B1" s="485"/>
      <c r="C1" s="485"/>
      <c r="D1" s="485"/>
      <c r="E1" s="107"/>
    </row>
    <row r="2" spans="1:35" ht="13.2">
      <c r="A2" s="19"/>
      <c r="B2" s="109"/>
      <c r="C2" s="109"/>
      <c r="D2"/>
      <c r="E2" s="20"/>
    </row>
    <row r="3" spans="1:35" ht="13.2">
      <c r="A3" s="19"/>
      <c r="B3" s="109"/>
      <c r="C3" s="109"/>
      <c r="D3" s="109"/>
      <c r="E3" s="20"/>
    </row>
    <row r="4" spans="1:35" ht="15.75" customHeight="1">
      <c r="A4" s="19"/>
      <c r="B4" s="483" t="s">
        <v>47</v>
      </c>
      <c r="C4" s="483"/>
      <c r="D4" s="483"/>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6" t="str">
        <f ca="1">OFFSET(L!$C$1,MATCH("General"&amp;"Cpy",L!$A:$A,0)-1,SL,,)</f>
        <v>© 2025 Responsible Minerals Initiative. All rights reserved.</v>
      </c>
      <c r="C1001" s="486"/>
      <c r="D1001" s="486"/>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7"/>
      <c r="C1" s="487"/>
      <c r="D1" s="487"/>
      <c r="E1" s="487"/>
      <c r="F1" s="487"/>
      <c r="G1" s="487"/>
    </row>
    <row r="2" spans="1:13">
      <c r="A2" s="488"/>
      <c r="B2" s="488"/>
      <c r="C2" s="488"/>
      <c r="D2" s="488"/>
      <c r="E2" s="488"/>
      <c r="F2" s="488"/>
      <c r="G2" s="488"/>
      <c r="H2" s="488"/>
      <c r="I2" s="488"/>
    </row>
    <row r="3" spans="1:13">
      <c r="A3" s="488"/>
      <c r="B3" s="488"/>
      <c r="C3" s="488"/>
      <c r="D3" s="488"/>
      <c r="E3" s="488"/>
      <c r="F3" s="488"/>
      <c r="G3" s="488"/>
      <c r="H3" s="488"/>
      <c r="I3" s="488"/>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2010-06-21T21:00:23Z</dcterms:created>
  <dcterms:modified xsi:type="dcterms:W3CDTF">2025-10-02T12:50:05Z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